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SAŽETAK" sheetId="1" r:id="rId1"/>
    <sheet name="RAČUN PRIHODA I RASHODA" sheetId="2" r:id="rId2"/>
    <sheet name="RAČUN PREMA FUNKCIJSKOJ KLASIFI" sheetId="3" r:id="rId3"/>
    <sheet name="RAČUN FINANCIRANJA" sheetId="4" r:id="rId4"/>
    <sheet name="POSEBNI DIO" sheetId="5" r:id="rId5"/>
  </sheets>
  <definedNames>
    <definedName name="_xlnm.Print_Titles" localSheetId="4">'POSEBNI DIO'!$1:$4</definedName>
  </definedNames>
  <calcPr fullCalcOnLoad="1"/>
</workbook>
</file>

<file path=xl/sharedStrings.xml><?xml version="1.0" encoding="utf-8"?>
<sst xmlns="http://schemas.openxmlformats.org/spreadsheetml/2006/main" count="630" uniqueCount="244">
  <si>
    <t>PRIHODI POSLOVANJA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</si>
  <si>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</si>
  <si>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</si>
  <si>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</si>
  <si>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</si>
  <si>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</si>
  <si>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</si>
  <si>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</si>
  <si>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</si>
  <si>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</si>
  <si>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</si>
  <si>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</si>
  <si>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</si>
  <si>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</si>
  <si>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</si>
  <si>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</si>
  <si>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</si>
  <si>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</si>
  <si>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</si>
  <si>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</si>
  <si>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</si>
  <si>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</si>
  <si>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</si>
  <si>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</si>
  <si>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</si>
  <si>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</si>
  <si>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</si>
  <si>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</si>
  <si>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</si>
  <si>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Plaće za redovan rad</t>
  </si>
  <si>
    <t>Plaće za prekovremeni rad</t>
  </si>
  <si>
    <t>Plaće za posebne uvjete rada</t>
  </si>
  <si>
    <t>Doprinosi za obvezno zdr.osiguranje</t>
  </si>
  <si>
    <t>Službena putovanja</t>
  </si>
  <si>
    <t>Naknade za prijevoz, rad na terenu</t>
  </si>
  <si>
    <t>Stručno usavršavanje zaposlenika</t>
  </si>
  <si>
    <t>Ostale naknade zaposlenima</t>
  </si>
  <si>
    <t>Uredski mater.i ost.mater.rashodi</t>
  </si>
  <si>
    <t>Materijal i sirovine</t>
  </si>
  <si>
    <t>Energija</t>
  </si>
  <si>
    <t>Mater.i dijelovi za tekuće i invest.održ.</t>
  </si>
  <si>
    <t>Sitni inventar i auto-gume</t>
  </si>
  <si>
    <t>Služb.radna i zaštitna odjeća i obuća</t>
  </si>
  <si>
    <t>Usluge telefona,pošte i prijevoza</t>
  </si>
  <si>
    <t>Usluge tekućeg i invest.održavanja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</si>
  <si>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</si>
  <si>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</si>
  <si>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</si>
  <si>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</si>
  <si>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</si>
  <si>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Reprezentacija</t>
  </si>
  <si>
    <t>Naknade i pristojbe</t>
  </si>
  <si>
    <t>Bankarske usluge i usluge pl.prometa</t>
  </si>
  <si>
    <t>Uredska oprema i namještaj</t>
  </si>
  <si>
    <t>Uređaji, strojevi i oprema za ost.namjene</t>
  </si>
  <si>
    <t>Knjige u knjižnicama</t>
  </si>
  <si>
    <t>UKUPNO:</t>
  </si>
  <si>
    <t>Usluge promidžbe i informiranja</t>
  </si>
  <si>
    <t>Zakupnine i najamnine</t>
  </si>
  <si>
    <t>Zatezne kamate</t>
  </si>
  <si>
    <t>Oprema za održavanje i zaštitu</t>
  </si>
  <si>
    <t>PRIHODI OD PRODAJE NEFINANCIJSKE IMOVINE</t>
  </si>
  <si>
    <t>Usluge telefona, pošte i prijev.</t>
  </si>
  <si>
    <t>Ostali nespomenuti rashodi poslo.</t>
  </si>
  <si>
    <t xml:space="preserve">RASHODI POSLOVANJA </t>
  </si>
  <si>
    <t xml:space="preserve">UKUPAN DONOS VIŠKA/MANJKA IZ PRETHODNE(IH) GODINA </t>
  </si>
  <si>
    <t>Troškovi sudskih postupaka</t>
  </si>
  <si>
    <t>Članarine i norme</t>
  </si>
  <si>
    <t>Pristrojbe i naknade</t>
  </si>
  <si>
    <t>Pristojbe i naknade</t>
  </si>
  <si>
    <t>Ostale naknade građ. i kuć. iz proračuna</t>
  </si>
  <si>
    <t>Naknade građ i kuć. U naravi</t>
  </si>
  <si>
    <t>Nakn. Građanima i kućanstvima na temelju osiguranja i druge naknade</t>
  </si>
  <si>
    <t>Sportska i glazbena oprema</t>
  </si>
  <si>
    <t>Nakn. građanima i kuć. u naravi</t>
  </si>
  <si>
    <t>Namjenski primici od zaduživanja</t>
  </si>
  <si>
    <t>Rashodi za nabavu proizvedene dugotrajne imovine</t>
  </si>
  <si>
    <t>Doprinosi za obvezno osiguranje u slučaju nezaposlenosti</t>
  </si>
  <si>
    <t>A) SAŽETAK RAČUNA PRIHODA I RASHODA</t>
  </si>
  <si>
    <t>EUR/KN</t>
  </si>
  <si>
    <t xml:space="preserve"> Plan za 2023.</t>
  </si>
  <si>
    <t>Projekcija za 2024.</t>
  </si>
  <si>
    <t>Projekcija  za 2025.</t>
  </si>
  <si>
    <t>Izvršenje 2021.</t>
  </si>
  <si>
    <t>Plan 2022.</t>
  </si>
  <si>
    <t>B) SAŽETAK RAČUNA FINANCIRANJA</t>
  </si>
  <si>
    <t>C) PRENESENI VIŠAK ILI PRENESENI MANJAK I VIŠEGODIŠNJI PLAN URAVNOTEŽENJA</t>
  </si>
  <si>
    <t>VIŠAK/MANJAK IZ PRETHODNE(IH) GODINE KOJI ĆE SE RASPOREDITI / POKRITI</t>
  </si>
  <si>
    <r>
      <t>FINANCIJSKI PLAN PRORAČUNSKOG KORISNIKA JEDINICE LOKALNE I PODRUČNE (REGIONALNE) SAMOUPRAVE</t>
    </r>
    <r>
      <rPr>
        <b/>
        <sz val="12"/>
        <color indexed="8"/>
        <rFont val="Arial"/>
        <family val="2"/>
      </rPr>
      <t xml:space="preserve">  ZA 2023. I PROJEKCIJE ZA 2024. I 2025.</t>
    </r>
  </si>
  <si>
    <t>FINANCIJSKI PLAN PRORAČUNSKOG KORISNIKA JEDINICE LOKALNE I PODRUČNE (REGIONALNE) SAMOUPRAVE 
ZA 2023. I PROJEKCIJA ZA 2024. I 2025. GODINU</t>
  </si>
  <si>
    <t>I. OPĆI DIO</t>
  </si>
  <si>
    <t xml:space="preserve">A. RAČUN PRIHODA I RASHODA </t>
  </si>
  <si>
    <t>Razred</t>
  </si>
  <si>
    <t>Skupina</t>
  </si>
  <si>
    <t>Izvor</t>
  </si>
  <si>
    <t>Naziv prihoda</t>
  </si>
  <si>
    <t>Plan za 2023.</t>
  </si>
  <si>
    <t>Projekcija 
za 2024.</t>
  </si>
  <si>
    <t>Projekcija 
za 2025.</t>
  </si>
  <si>
    <t>Prihodi poslovanja</t>
  </si>
  <si>
    <t>Pomoći iz inozemstva i od subjekata unutar općeg proračuna</t>
  </si>
  <si>
    <t>Prihodi iz nadležnog proračuna i od HZZO-a temeljem ugovornih obveza</t>
  </si>
  <si>
    <t>Prihodi od prodaje nefinancijske imovine</t>
  </si>
  <si>
    <t>Prihodi od prodaje proizvedene dugotrajne imovine</t>
  </si>
  <si>
    <t>Opći prihodi i primici</t>
  </si>
  <si>
    <t>Naziv rashoda</t>
  </si>
  <si>
    <t>Rashodi poslovanja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</si>
  <si>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</si>
  <si>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</si>
  <si>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</si>
  <si>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</si>
  <si>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</si>
  <si>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</si>
  <si>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</si>
  <si>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</si>
  <si>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Vlastiti prihodi</t>
  </si>
  <si>
    <t>Prihodi od imovine</t>
  </si>
  <si>
    <t>Prihodi od upravnih i adm. Pristojbi, pristojbi po posebnim propisima i naknadama</t>
  </si>
  <si>
    <t>Prihodi od prodaje proizvoda i robe te pruđženih usluga i prihodi od donacija</t>
  </si>
  <si>
    <t xml:space="preserve">4.1. </t>
  </si>
  <si>
    <t>5.K.</t>
  </si>
  <si>
    <t>Pomoći</t>
  </si>
  <si>
    <t>3.3.</t>
  </si>
  <si>
    <t>4.L.</t>
  </si>
  <si>
    <t>Prihodi za posebne namjene</t>
  </si>
  <si>
    <t>6.3.</t>
  </si>
  <si>
    <t>Donacije</t>
  </si>
  <si>
    <t>Financijski rashodi</t>
  </si>
  <si>
    <t>Naknade građanima i kućanstvima na temelju osiguranja i druge naknade</t>
  </si>
  <si>
    <t>Rashodi za dodatna ulaganja na nefinancijskoj imovini</t>
  </si>
  <si>
    <t>EUR</t>
  </si>
  <si>
    <t>KN</t>
  </si>
  <si>
    <t>09 Obrazovanje</t>
  </si>
  <si>
    <t>091 Predškolsko i osnovno obrazovanje</t>
  </si>
  <si>
    <t>0912 Osnovno obrazovanje</t>
  </si>
  <si>
    <t>096 Dodatne usluge u obrazovanju</t>
  </si>
  <si>
    <t>0960 Dodatne usluge u obrazovanju</t>
  </si>
  <si>
    <t>NOVA ŠKOLSKA SHEMA VOĆA I POVRĆA TE MLIJEKA I MLIJEČNIH PROIZVODA</t>
  </si>
  <si>
    <t xml:space="preserve">Tekući Projekt T100011 </t>
  </si>
  <si>
    <t xml:space="preserve">Program 1001 </t>
  </si>
  <si>
    <t>POTICANJE KORIŠTENJA SREDSTAVA EU</t>
  </si>
  <si>
    <t xml:space="preserve">Glavni program P52 </t>
  </si>
  <si>
    <t>PROJEKTI I PROGRAMI  EU</t>
  </si>
  <si>
    <t>PROJEKTI I PROGRAMI EU</t>
  </si>
  <si>
    <t xml:space="preserve">Glava 003006 </t>
  </si>
  <si>
    <t xml:space="preserve">Razdjel 003 </t>
  </si>
  <si>
    <t>UPRAVNI ODJEL ZA POLJOPRIVREDU</t>
  </si>
  <si>
    <t xml:space="preserve">Razdjel 004 </t>
  </si>
  <si>
    <t>UPRAVNI ODJEL ZA PROSVJETU,KULTURU, SPORT I TEHNIČKU KULTURU</t>
  </si>
  <si>
    <t xml:space="preserve">Glava 004002 </t>
  </si>
  <si>
    <t>OSNOVNO ŠKOLSTVO</t>
  </si>
  <si>
    <t xml:space="preserve">GLAVNI PROGRAM P15 </t>
  </si>
  <si>
    <t>MINIMALNI STANDARD U OSNOVNOM ŠKOLSTVU</t>
  </si>
  <si>
    <t xml:space="preserve">Program 1001  </t>
  </si>
  <si>
    <t>Minimalni standard u osnovnom školstvu - materijalni i financijski rashodi</t>
  </si>
  <si>
    <t xml:space="preserve">Aktivnost A100001 </t>
  </si>
  <si>
    <t xml:space="preserve">Aktivnost A100002 </t>
  </si>
  <si>
    <t>Tekuće i investicijsko održavanje-minimalni standard</t>
  </si>
  <si>
    <t xml:space="preserve">Glava 004004 </t>
  </si>
  <si>
    <t>ŠKOLSTVO-OSTALE IZVAN DECENTRALIZIRANE FUNKCIJE</t>
  </si>
  <si>
    <t xml:space="preserve">Glavni program P17 </t>
  </si>
  <si>
    <t>POTREBE IZNAD MINIMALNOG STANDARDA</t>
  </si>
  <si>
    <t>Pojačani standard u školstvu</t>
  </si>
  <si>
    <t xml:space="preserve">Tekući projekt T100003 </t>
  </si>
  <si>
    <t xml:space="preserve">Tekući projekt T100041 </t>
  </si>
  <si>
    <t>E-Tehničar</t>
  </si>
  <si>
    <t xml:space="preserve">Program 1002 </t>
  </si>
  <si>
    <t>KAPITALNO ULAGANJE</t>
  </si>
  <si>
    <t xml:space="preserve">Tekući projekt T100001 </t>
  </si>
  <si>
    <t>OPREMA ŠKOLA</t>
  </si>
  <si>
    <t xml:space="preserve">Program 1003  </t>
  </si>
  <si>
    <t>Tekuće i investicijsko održavanje u školstvu</t>
  </si>
  <si>
    <t xml:space="preserve">Glava 004008 </t>
  </si>
  <si>
    <t>OSNOVNE I SREDNJE ŠKOLE IZVAN ŽUPANIJSKOG PRORAČUNA</t>
  </si>
  <si>
    <t xml:space="preserve">Glavni program P63 </t>
  </si>
  <si>
    <t>PROGRAMI OSNOVNIH ŠKOLA IZVAN ŽUPANIJSKOG PRORAČUNA</t>
  </si>
  <si>
    <t>Izvor financiranja 4.L.</t>
  </si>
  <si>
    <t>Izvor financiranja 5.K.</t>
  </si>
  <si>
    <t>ADMIN.,TEHNIČKO I STRUČNO OSOBLJE</t>
  </si>
  <si>
    <t>ŠKOLSKA KUHINJA</t>
  </si>
  <si>
    <t xml:space="preserve">Tekući projekt T100012 </t>
  </si>
  <si>
    <t xml:space="preserve">Tekući projekt T100020 </t>
  </si>
  <si>
    <t>NABAVA UDŽBENIKA ZA UČENIKE</t>
  </si>
  <si>
    <t>II. POSEBNI DIO</t>
  </si>
  <si>
    <t>Prehrana</t>
  </si>
  <si>
    <t>Premije osiguranja</t>
  </si>
  <si>
    <t>Izvor financiranja 4.1</t>
  </si>
  <si>
    <t>Izvor financiranja 1.1.</t>
  </si>
  <si>
    <t>Aktivnost A100003</t>
  </si>
  <si>
    <t>Energenti</t>
  </si>
  <si>
    <t>PRIJEVOZ UČENIKA S TEŠKOČAMA</t>
  </si>
  <si>
    <t>5.Đ.</t>
  </si>
  <si>
    <t>1.1.</t>
  </si>
  <si>
    <t>Decentralizirana sredstva OŠ</t>
  </si>
  <si>
    <t>Izvor financiranja 5.Đ.</t>
  </si>
  <si>
    <t>Ministarstvo poljoprivrede</t>
  </si>
  <si>
    <t>Mzo-ESF</t>
  </si>
  <si>
    <t>5.T.</t>
  </si>
  <si>
    <t>Vlastiti izvori</t>
  </si>
  <si>
    <t>Rezultat poslovanja</t>
  </si>
  <si>
    <t>Prihodi za posebne namjene-višak prihoda</t>
  </si>
  <si>
    <t>OŠ JOSIPA BADALIĆA, GRABERJE IVANIĆKO</t>
  </si>
  <si>
    <t>OIB: 54154274638</t>
  </si>
  <si>
    <t>Intelektualne usluge</t>
  </si>
  <si>
    <t>Tekući projekt T100031</t>
  </si>
  <si>
    <t xml:space="preserve">Prsten potpore III - pomoćnici u nastavi </t>
  </si>
  <si>
    <t>Tekući projekt T100047</t>
  </si>
  <si>
    <t xml:space="preserve">Prsten potpore IV - pomoćnici u nastavi </t>
  </si>
  <si>
    <t>Razdjel 004</t>
  </si>
  <si>
    <t>UPRAVNI ODJEL ZA ODGOJ I OBRAZOVANJE</t>
  </si>
  <si>
    <t>Glava 004002</t>
  </si>
  <si>
    <t>Glavni program P51</t>
  </si>
  <si>
    <t>KAPITALNO ULAGANJE U OSNOVNO ŠKOLSTVO</t>
  </si>
  <si>
    <t>OŠ JOSIPA BADALIĆA- izgradnja dvorane</t>
  </si>
  <si>
    <t>Kapitalni projekt 100104</t>
  </si>
  <si>
    <t>Rashodi za nabavu nefinacijske imovine</t>
  </si>
  <si>
    <t>Građevinski objekti</t>
  </si>
  <si>
    <t>Poslovni objekti</t>
  </si>
  <si>
    <t>Osiguranje</t>
  </si>
  <si>
    <t>zatezne kamate</t>
  </si>
  <si>
    <t xml:space="preserve">Materijal i dijelovi za tekuće i inves. održavanje </t>
  </si>
  <si>
    <t>Tekući projekt T100019</t>
  </si>
  <si>
    <t>Izvor financiranja 7.3.</t>
  </si>
  <si>
    <t>Prihodi od nefinancijske imovine</t>
  </si>
  <si>
    <t>Višak prihoda</t>
  </si>
  <si>
    <t>Izvor financiranja 3.7.</t>
  </si>
  <si>
    <t>Rasodi za materijal i energiju</t>
  </si>
  <si>
    <t>Uredski materijal</t>
  </si>
  <si>
    <t xml:space="preserve">Prsten potpore V - pomoćnici u nastavi </t>
  </si>
  <si>
    <t>Tekući projekt T100054</t>
  </si>
  <si>
    <t>Tekući projekt T100055</t>
  </si>
  <si>
    <t xml:space="preserve">Prsten potpore VI - pomoćnici u nastavi </t>
  </si>
  <si>
    <t>Natjecanja</t>
  </si>
  <si>
    <t>Naknade za rad predstavničkih i izvršnih tijela, povjerenstava i sl.</t>
  </si>
  <si>
    <t>7.3.</t>
  </si>
  <si>
    <t>OSNOVNA ŠKOLA JOSIPA BADALIĆA, ZAGREBAČKA 11, RKDP 15729</t>
  </si>
  <si>
    <t>Pomoći EU</t>
  </si>
  <si>
    <t>Prihod od nef. Imovine</t>
  </si>
  <si>
    <t>3.7.</t>
  </si>
  <si>
    <t>Vlastiti prihodi-višak posl.</t>
  </si>
  <si>
    <t>Prihodi od nef.imovine</t>
  </si>
  <si>
    <t>Vlastiti prihodi-višak prihoda posl.</t>
  </si>
  <si>
    <t>098 Usluge obrazovanja</t>
  </si>
  <si>
    <t>0980 Usluge obrazovanja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</si>
</sst>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"/>
    <numFmt numFmtId="179" formatCode="[$-41A]d\.\ mmmm\ yyyy\."/>
    <numFmt numFmtId="180" formatCode="#,##0.00_ ;[Red]\-#,##0.00\ "/>
    <numFmt numFmtId="181" formatCode="#,##0.0"/>
    <numFmt numFmtId="182" formatCode="0.0"/>
    <numFmt numFmtId="183" formatCode="#,##0.00\ _k_n"/>
    <numFmt numFmtId="184" formatCode="#,##0.00\ &quot;kn&quot;"/>
    <numFmt numFmtId="185" formatCode="#,##0.00_ ;\-#,##0.00\ "/>
    <numFmt numFmtId="186" formatCode="#,##0.000"/>
    <numFmt numFmtId="187" formatCode="#,##0.0000"/>
    <numFmt numFmtId="188" formatCode="0.00000"/>
    <numFmt numFmtId="189" formatCode="0.0000"/>
    <numFmt numFmtId="190" formatCode="0.000"/>
  </numFmts>
  <fonts count="6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11"/>
      <name val="Calibri"/>
      <family val="2"/>
    </font>
    <font>
      <b/>
      <i/>
      <sz val="10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b/>
      <sz val="11"/>
      <color indexed="8"/>
      <name val="Arial"/>
      <family val="2"/>
    </font>
    <font>
      <b/>
      <i/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9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</font>
    <font>
      <b/>
      <sz val="9"/>
      <color rgb="FF000000"/>
      <name val="Arial"/>
      <family val="2"/>
    </font>
    <font>
      <b/>
      <i/>
      <sz val="10"/>
      <color rgb="FF00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7" fillId="34" borderId="7" applyNumberFormat="0" applyAlignment="0" applyProtection="0"/>
    <xf numFmtId="0" fontId="49" fillId="42" borderId="8" applyNumberFormat="0" applyAlignment="0" applyProtection="0"/>
    <xf numFmtId="0" fontId="15" fillId="0" borderId="9" applyNumberFormat="0" applyFill="0" applyAlignment="0" applyProtection="0"/>
    <xf numFmtId="0" fontId="50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4" fillId="44" borderId="0" applyNumberFormat="0" applyBorder="0" applyAlignment="0" applyProtection="0"/>
    <xf numFmtId="0" fontId="55" fillId="0" borderId="0">
      <alignment/>
      <protection/>
    </xf>
    <xf numFmtId="0" fontId="47" fillId="0" borderId="0">
      <alignment/>
      <protection/>
    </xf>
    <xf numFmtId="0" fontId="0" fillId="4" borderId="1" applyNumberFormat="0" applyFont="0" applyAlignment="0" applyProtection="0"/>
    <xf numFmtId="0" fontId="17" fillId="34" borderId="7" applyNumberFormat="0" applyAlignment="0" applyProtection="0"/>
    <xf numFmtId="9" fontId="1" fillId="0" borderId="0" applyFont="0" applyFill="0" applyBorder="0" applyAlignment="0" applyProtection="0"/>
    <xf numFmtId="0" fontId="56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7" fillId="45" borderId="14" applyNumberFormat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8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47" borderId="17" xfId="0" applyNumberFormat="1" applyFont="1" applyFill="1" applyBorder="1" applyAlignment="1" applyProtection="1">
      <alignment horizontal="left" wrapText="1"/>
      <protection/>
    </xf>
    <xf numFmtId="0" fontId="26" fillId="48" borderId="17" xfId="0" applyNumberFormat="1" applyFont="1" applyFill="1" applyBorder="1" applyAlignment="1" applyProtection="1">
      <alignment horizontal="center"/>
      <protection/>
    </xf>
    <xf numFmtId="0" fontId="26" fillId="48" borderId="17" xfId="0" applyNumberFormat="1" applyFont="1" applyFill="1" applyBorder="1" applyAlignment="1" applyProtection="1">
      <alignment wrapText="1"/>
      <protection/>
    </xf>
    <xf numFmtId="0" fontId="26" fillId="0" borderId="17" xfId="0" applyNumberFormat="1" applyFont="1" applyFill="1" applyBorder="1" applyAlignment="1" applyProtection="1">
      <alignment horizontal="center"/>
      <protection/>
    </xf>
    <xf numFmtId="0" fontId="26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 horizontal="center"/>
      <protection/>
    </xf>
    <xf numFmtId="0" fontId="25" fillId="0" borderId="17" xfId="0" applyNumberFormat="1" applyFont="1" applyFill="1" applyBorder="1" applyAlignment="1" applyProtection="1">
      <alignment wrapText="1"/>
      <protection/>
    </xf>
    <xf numFmtId="0" fontId="26" fillId="47" borderId="17" xfId="0" applyNumberFormat="1" applyFont="1" applyFill="1" applyBorder="1" applyAlignment="1" applyProtection="1">
      <alignment wrapText="1"/>
      <protection/>
    </xf>
    <xf numFmtId="3" fontId="26" fillId="47" borderId="17" xfId="0" applyNumberFormat="1" applyFont="1" applyFill="1" applyBorder="1" applyAlignment="1" applyProtection="1">
      <alignment wrapText="1"/>
      <protection/>
    </xf>
    <xf numFmtId="3" fontId="26" fillId="48" borderId="17" xfId="0" applyNumberFormat="1" applyFont="1" applyFill="1" applyBorder="1" applyAlignment="1" applyProtection="1">
      <alignment horizontal="center"/>
      <protection/>
    </xf>
    <xf numFmtId="3" fontId="26" fillId="48" borderId="17" xfId="0" applyNumberFormat="1" applyFont="1" applyFill="1" applyBorder="1" applyAlignment="1" applyProtection="1">
      <alignment wrapText="1"/>
      <protection/>
    </xf>
    <xf numFmtId="3" fontId="26" fillId="0" borderId="17" xfId="0" applyNumberFormat="1" applyFont="1" applyFill="1" applyBorder="1" applyAlignment="1" applyProtection="1">
      <alignment horizontal="center"/>
      <protection/>
    </xf>
    <xf numFmtId="3" fontId="26" fillId="0" borderId="17" xfId="0" applyNumberFormat="1" applyFont="1" applyFill="1" applyBorder="1" applyAlignment="1" applyProtection="1">
      <alignment wrapText="1"/>
      <protection/>
    </xf>
    <xf numFmtId="3" fontId="25" fillId="0" borderId="17" xfId="0" applyNumberFormat="1" applyFont="1" applyFill="1" applyBorder="1" applyAlignment="1" applyProtection="1">
      <alignment wrapText="1"/>
      <protection/>
    </xf>
    <xf numFmtId="1" fontId="25" fillId="0" borderId="17" xfId="0" applyNumberFormat="1" applyFont="1" applyFill="1" applyBorder="1" applyAlignment="1" applyProtection="1">
      <alignment horizontal="center"/>
      <protection/>
    </xf>
    <xf numFmtId="0" fontId="32" fillId="0" borderId="0" xfId="0" applyFont="1" applyAlignment="1">
      <alignment wrapText="1"/>
    </xf>
    <xf numFmtId="0" fontId="32" fillId="0" borderId="0" xfId="0" applyFont="1" applyAlignment="1">
      <alignment/>
    </xf>
    <xf numFmtId="0" fontId="61" fillId="0" borderId="17" xfId="0" applyFont="1" applyBorder="1" applyAlignment="1">
      <alignment horizontal="right" vertical="center"/>
    </xf>
    <xf numFmtId="3" fontId="61" fillId="0" borderId="17" xfId="0" applyNumberFormat="1" applyFont="1" applyBorder="1" applyAlignment="1">
      <alignment horizontal="right" vertical="center"/>
    </xf>
    <xf numFmtId="0" fontId="25" fillId="0" borderId="17" xfId="0" applyNumberFormat="1" applyFont="1" applyFill="1" applyBorder="1" applyAlignment="1" applyProtection="1">
      <alignment horizontal="center"/>
      <protection/>
    </xf>
    <xf numFmtId="0" fontId="25" fillId="0" borderId="17" xfId="0" applyNumberFormat="1" applyFont="1" applyFill="1" applyBorder="1" applyAlignment="1" applyProtection="1">
      <alignment wrapText="1"/>
      <protection/>
    </xf>
    <xf numFmtId="0" fontId="26" fillId="49" borderId="17" xfId="0" applyNumberFormat="1" applyFont="1" applyFill="1" applyBorder="1" applyAlignment="1" applyProtection="1">
      <alignment wrapText="1"/>
      <protection/>
    </xf>
    <xf numFmtId="0" fontId="25" fillId="50" borderId="17" xfId="0" applyNumberFormat="1" applyFont="1" applyFill="1" applyBorder="1" applyAlignment="1" applyProtection="1">
      <alignment horizontal="center"/>
      <protection/>
    </xf>
    <xf numFmtId="0" fontId="26" fillId="50" borderId="17" xfId="0" applyNumberFormat="1" applyFont="1" applyFill="1" applyBorder="1" applyAlignment="1" applyProtection="1">
      <alignment wrapText="1"/>
      <protection/>
    </xf>
    <xf numFmtId="2" fontId="61" fillId="0" borderId="17" xfId="0" applyNumberFormat="1" applyFont="1" applyBorder="1" applyAlignment="1">
      <alignment horizontal="right" vertical="center"/>
    </xf>
    <xf numFmtId="0" fontId="23" fillId="0" borderId="17" xfId="0" applyNumberFormat="1" applyFont="1" applyFill="1" applyBorder="1" applyAlignment="1" applyProtection="1">
      <alignment wrapText="1"/>
      <protection/>
    </xf>
    <xf numFmtId="0" fontId="26" fillId="0" borderId="18" xfId="0" applyNumberFormat="1" applyFont="1" applyFill="1" applyBorder="1" applyAlignment="1" applyProtection="1">
      <alignment horizontal="center"/>
      <protection/>
    </xf>
    <xf numFmtId="0" fontId="31" fillId="0" borderId="18" xfId="0" applyNumberFormat="1" applyFont="1" applyFill="1" applyBorder="1" applyAlignment="1" applyProtection="1">
      <alignment wrapText="1"/>
      <protection/>
    </xf>
    <xf numFmtId="0" fontId="22" fillId="0" borderId="19" xfId="0" applyFont="1" applyBorder="1" applyAlignment="1">
      <alignment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32" fillId="0" borderId="0" xfId="0" applyFont="1" applyAlignment="1">
      <alignment horizontal="right"/>
    </xf>
    <xf numFmtId="0" fontId="22" fillId="0" borderId="17" xfId="0" applyFont="1" applyBorder="1" applyAlignment="1">
      <alignment vertical="center" wrapText="1"/>
    </xf>
    <xf numFmtId="0" fontId="22" fillId="0" borderId="19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right" vertical="center"/>
    </xf>
    <xf numFmtId="0" fontId="62" fillId="0" borderId="0" xfId="0" applyFont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9" xfId="0" applyFont="1" applyBorder="1" applyAlignment="1">
      <alignment vertical="center" wrapText="1"/>
    </xf>
    <xf numFmtId="0" fontId="34" fillId="0" borderId="17" xfId="0" applyFont="1" applyBorder="1" applyAlignment="1">
      <alignment vertical="center" wrapText="1"/>
    </xf>
    <xf numFmtId="0" fontId="62" fillId="0" borderId="0" xfId="0" applyFont="1" applyAlignment="1">
      <alignment vertical="center" wrapText="1"/>
    </xf>
    <xf numFmtId="0" fontId="63" fillId="0" borderId="0" xfId="0" applyFont="1" applyAlignment="1">
      <alignment wrapText="1"/>
    </xf>
    <xf numFmtId="0" fontId="26" fillId="48" borderId="17" xfId="0" applyNumberFormat="1" applyFont="1" applyFill="1" applyBorder="1" applyAlignment="1" applyProtection="1">
      <alignment horizontal="center" vertical="center" wrapText="1"/>
      <protection/>
    </xf>
    <xf numFmtId="0" fontId="26" fillId="48" borderId="19" xfId="0" applyNumberFormat="1" applyFont="1" applyFill="1" applyBorder="1" applyAlignment="1" applyProtection="1">
      <alignment horizontal="center" vertical="center" wrapText="1"/>
      <protection/>
    </xf>
    <xf numFmtId="0" fontId="22" fillId="51" borderId="17" xfId="0" applyNumberFormat="1" applyFont="1" applyFill="1" applyBorder="1" applyAlignment="1" applyProtection="1">
      <alignment horizontal="left" vertical="center" wrapText="1"/>
      <protection/>
    </xf>
    <xf numFmtId="3" fontId="25" fillId="51" borderId="19" xfId="0" applyNumberFormat="1" applyFont="1" applyFill="1" applyBorder="1" applyAlignment="1">
      <alignment horizontal="right"/>
    </xf>
    <xf numFmtId="3" fontId="25" fillId="51" borderId="17" xfId="0" applyNumberFormat="1" applyFont="1" applyFill="1" applyBorder="1" applyAlignment="1">
      <alignment horizontal="right"/>
    </xf>
    <xf numFmtId="0" fontId="21" fillId="51" borderId="17" xfId="0" applyNumberFormat="1" applyFont="1" applyFill="1" applyBorder="1" applyAlignment="1" applyProtection="1">
      <alignment horizontal="left" vertical="center" wrapText="1"/>
      <protection/>
    </xf>
    <xf numFmtId="0" fontId="21" fillId="51" borderId="17" xfId="0" applyFont="1" applyFill="1" applyBorder="1" applyAlignment="1" quotePrefix="1">
      <alignment horizontal="left" vertical="center"/>
    </xf>
    <xf numFmtId="0" fontId="35" fillId="51" borderId="17" xfId="0" applyFont="1" applyFill="1" applyBorder="1" applyAlignment="1" quotePrefix="1">
      <alignment horizontal="left" vertical="center"/>
    </xf>
    <xf numFmtId="0" fontId="22" fillId="51" borderId="17" xfId="0" applyFont="1" applyFill="1" applyBorder="1" applyAlignment="1" quotePrefix="1">
      <alignment horizontal="left" vertical="center"/>
    </xf>
    <xf numFmtId="0" fontId="35" fillId="51" borderId="17" xfId="0" applyFont="1" applyFill="1" applyBorder="1" applyAlignment="1" quotePrefix="1">
      <alignment horizontal="left" vertical="center" wrapText="1"/>
    </xf>
    <xf numFmtId="0" fontId="22" fillId="51" borderId="17" xfId="0" applyFont="1" applyFill="1" applyBorder="1" applyAlignment="1">
      <alignment horizontal="left" vertical="center"/>
    </xf>
    <xf numFmtId="0" fontId="22" fillId="51" borderId="17" xfId="0" applyNumberFormat="1" applyFont="1" applyFill="1" applyBorder="1" applyAlignment="1" applyProtection="1">
      <alignment horizontal="left" vertical="center"/>
      <protection/>
    </xf>
    <xf numFmtId="0" fontId="22" fillId="51" borderId="17" xfId="0" applyNumberFormat="1" applyFont="1" applyFill="1" applyBorder="1" applyAlignment="1" applyProtection="1">
      <alignment vertical="center" wrapText="1"/>
      <protection/>
    </xf>
    <xf numFmtId="0" fontId="21" fillId="51" borderId="17" xfId="0" applyNumberFormat="1" applyFont="1" applyFill="1" applyBorder="1" applyAlignment="1" applyProtection="1">
      <alignment vertical="center" wrapText="1"/>
      <protection/>
    </xf>
    <xf numFmtId="3" fontId="25" fillId="51" borderId="17" xfId="0" applyNumberFormat="1" applyFont="1" applyFill="1" applyBorder="1" applyAlignment="1" applyProtection="1">
      <alignment horizontal="right" wrapText="1"/>
      <protection/>
    </xf>
    <xf numFmtId="0" fontId="21" fillId="51" borderId="17" xfId="0" applyFont="1" applyFill="1" applyBorder="1" applyAlignment="1">
      <alignment horizontal="left" vertical="center"/>
    </xf>
    <xf numFmtId="0" fontId="35" fillId="51" borderId="17" xfId="0" applyNumberFormat="1" applyFont="1" applyFill="1" applyBorder="1" applyAlignment="1" applyProtection="1">
      <alignment horizontal="left" vertical="center" wrapText="1"/>
      <protection/>
    </xf>
    <xf numFmtId="0" fontId="21" fillId="51" borderId="17" xfId="0" applyFont="1" applyFill="1" applyBorder="1" applyAlignment="1" quotePrefix="1">
      <alignment horizontal="left" vertical="center" wrapText="1"/>
    </xf>
    <xf numFmtId="183" fontId="25" fillId="51" borderId="19" xfId="0" applyNumberFormat="1" applyFont="1" applyFill="1" applyBorder="1" applyAlignment="1">
      <alignment horizontal="right"/>
    </xf>
    <xf numFmtId="183" fontId="26" fillId="51" borderId="19" xfId="0" applyNumberFormat="1" applyFont="1" applyFill="1" applyBorder="1" applyAlignment="1">
      <alignment horizontal="right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25" fillId="49" borderId="17" xfId="0" applyNumberFormat="1" applyFont="1" applyFill="1" applyBorder="1" applyAlignment="1" applyProtection="1">
      <alignment horizontal="left"/>
      <protection/>
    </xf>
    <xf numFmtId="0" fontId="26" fillId="28" borderId="20" xfId="0" applyNumberFormat="1" applyFont="1" applyFill="1" applyBorder="1" applyAlignment="1" applyProtection="1">
      <alignment wrapText="1"/>
      <protection/>
    </xf>
    <xf numFmtId="0" fontId="26" fillId="52" borderId="20" xfId="0" applyNumberFormat="1" applyFont="1" applyFill="1" applyBorder="1" applyAlignment="1" applyProtection="1">
      <alignment wrapText="1"/>
      <protection/>
    </xf>
    <xf numFmtId="0" fontId="25" fillId="50" borderId="17" xfId="0" applyNumberFormat="1" applyFont="1" applyFill="1" applyBorder="1" applyAlignment="1" applyProtection="1">
      <alignment horizontal="center" vertical="center"/>
      <protection/>
    </xf>
    <xf numFmtId="0" fontId="26" fillId="51" borderId="17" xfId="0" applyNumberFormat="1" applyFont="1" applyFill="1" applyBorder="1" applyAlignment="1" applyProtection="1">
      <alignment wrapText="1"/>
      <protection/>
    </xf>
    <xf numFmtId="0" fontId="26" fillId="52" borderId="20" xfId="0" applyNumberFormat="1" applyFont="1" applyFill="1" applyBorder="1" applyAlignment="1" applyProtection="1">
      <alignment vertical="center" wrapText="1"/>
      <protection/>
    </xf>
    <xf numFmtId="0" fontId="26" fillId="28" borderId="20" xfId="0" applyNumberFormat="1" applyFont="1" applyFill="1" applyBorder="1" applyAlignment="1" applyProtection="1">
      <alignment vertical="center" wrapText="1"/>
      <protection/>
    </xf>
    <xf numFmtId="0" fontId="24" fillId="52" borderId="20" xfId="0" applyNumberFormat="1" applyFont="1" applyFill="1" applyBorder="1" applyAlignment="1" applyProtection="1">
      <alignment vertical="center" wrapText="1"/>
      <protection/>
    </xf>
    <xf numFmtId="0" fontId="26" fillId="52" borderId="17" xfId="0" applyNumberFormat="1" applyFont="1" applyFill="1" applyBorder="1" applyAlignment="1" applyProtection="1">
      <alignment vertical="center" wrapText="1"/>
      <protection/>
    </xf>
    <xf numFmtId="0" fontId="24" fillId="52" borderId="17" xfId="0" applyNumberFormat="1" applyFont="1" applyFill="1" applyBorder="1" applyAlignment="1" applyProtection="1">
      <alignment vertical="center" wrapText="1"/>
      <protection/>
    </xf>
    <xf numFmtId="0" fontId="26" fillId="28" borderId="20" xfId="0" applyNumberFormat="1" applyFont="1" applyFill="1" applyBorder="1" applyAlignment="1" applyProtection="1">
      <alignment/>
      <protection/>
    </xf>
    <xf numFmtId="0" fontId="26" fillId="28" borderId="17" xfId="0" applyNumberFormat="1" applyFont="1" applyFill="1" applyBorder="1" applyAlignment="1" applyProtection="1">
      <alignment/>
      <protection/>
    </xf>
    <xf numFmtId="0" fontId="26" fillId="28" borderId="17" xfId="0" applyNumberFormat="1" applyFont="1" applyFill="1" applyBorder="1" applyAlignment="1" applyProtection="1">
      <alignment wrapText="1"/>
      <protection/>
    </xf>
    <xf numFmtId="0" fontId="26" fillId="47" borderId="17" xfId="0" applyNumberFormat="1" applyFont="1" applyFill="1" applyBorder="1" applyAlignment="1" applyProtection="1">
      <alignment horizontal="left"/>
      <protection/>
    </xf>
    <xf numFmtId="3" fontId="26" fillId="52" borderId="17" xfId="0" applyNumberFormat="1" applyFont="1" applyFill="1" applyBorder="1" applyAlignment="1" applyProtection="1">
      <alignment wrapText="1"/>
      <protection/>
    </xf>
    <xf numFmtId="3" fontId="26" fillId="52" borderId="17" xfId="0" applyNumberFormat="1" applyFont="1" applyFill="1" applyBorder="1" applyAlignment="1" applyProtection="1">
      <alignment vertical="center" wrapText="1"/>
      <protection/>
    </xf>
    <xf numFmtId="3" fontId="26" fillId="47" borderId="17" xfId="0" applyNumberFormat="1" applyFont="1" applyFill="1" applyBorder="1" applyAlignment="1" applyProtection="1">
      <alignment horizontal="left"/>
      <protection/>
    </xf>
    <xf numFmtId="3" fontId="26" fillId="28" borderId="20" xfId="0" applyNumberFormat="1" applyFont="1" applyFill="1" applyBorder="1" applyAlignment="1" applyProtection="1">
      <alignment vertical="center" wrapText="1"/>
      <protection/>
    </xf>
    <xf numFmtId="3" fontId="26" fillId="47" borderId="17" xfId="0" applyNumberFormat="1" applyFont="1" applyFill="1" applyBorder="1" applyAlignment="1" applyProtection="1">
      <alignment horizontal="left" wrapText="1"/>
      <protection/>
    </xf>
    <xf numFmtId="0" fontId="26" fillId="52" borderId="17" xfId="0" applyNumberFormat="1" applyFont="1" applyFill="1" applyBorder="1" applyAlignment="1" applyProtection="1">
      <alignment wrapText="1"/>
      <protection/>
    </xf>
    <xf numFmtId="3" fontId="26" fillId="28" borderId="17" xfId="0" applyNumberFormat="1" applyFont="1" applyFill="1" applyBorder="1" applyAlignment="1" applyProtection="1">
      <alignment wrapText="1"/>
      <protection/>
    </xf>
    <xf numFmtId="0" fontId="26" fillId="28" borderId="17" xfId="0" applyNumberFormat="1" applyFont="1" applyFill="1" applyBorder="1" applyAlignment="1" applyProtection="1">
      <alignment vertical="center" wrapText="1"/>
      <protection/>
    </xf>
    <xf numFmtId="0" fontId="26" fillId="49" borderId="17" xfId="0" applyNumberFormat="1" applyFont="1" applyFill="1" applyBorder="1" applyAlignment="1" applyProtection="1">
      <alignment horizontal="left"/>
      <protection/>
    </xf>
    <xf numFmtId="0" fontId="26" fillId="48" borderId="21" xfId="0" applyNumberFormat="1" applyFont="1" applyFill="1" applyBorder="1" applyAlignment="1" applyProtection="1">
      <alignment horizontal="center" vertical="center" wrapText="1"/>
      <protection/>
    </xf>
    <xf numFmtId="0" fontId="26" fillId="48" borderId="22" xfId="0" applyNumberFormat="1" applyFont="1" applyFill="1" applyBorder="1" applyAlignment="1" applyProtection="1">
      <alignment horizontal="center" vertical="center" wrapText="1"/>
      <protection/>
    </xf>
    <xf numFmtId="0" fontId="26" fillId="48" borderId="23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vertical="center" wrapText="1"/>
      <protection/>
    </xf>
    <xf numFmtId="0" fontId="28" fillId="0" borderId="24" xfId="0" applyNumberFormat="1" applyFont="1" applyFill="1" applyBorder="1" applyAlignment="1" applyProtection="1">
      <alignment horizontal="center" vertical="center" wrapText="1"/>
      <protection/>
    </xf>
    <xf numFmtId="0" fontId="26" fillId="34" borderId="25" xfId="0" applyNumberFormat="1" applyFont="1" applyFill="1" applyBorder="1" applyAlignment="1" applyProtection="1">
      <alignment horizontal="center" vertical="center" wrapText="1"/>
      <protection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183" fontId="31" fillId="0" borderId="18" xfId="0" applyNumberFormat="1" applyFont="1" applyFill="1" applyBorder="1" applyAlignment="1" applyProtection="1">
      <alignment wrapText="1"/>
      <protection/>
    </xf>
    <xf numFmtId="183" fontId="26" fillId="0" borderId="17" xfId="0" applyNumberFormat="1" applyFont="1" applyFill="1" applyBorder="1" applyAlignment="1" applyProtection="1">
      <alignment wrapText="1"/>
      <protection/>
    </xf>
    <xf numFmtId="183" fontId="26" fillId="28" borderId="20" xfId="0" applyNumberFormat="1" applyFont="1" applyFill="1" applyBorder="1" applyAlignment="1" applyProtection="1">
      <alignment horizontal="left" wrapText="1"/>
      <protection/>
    </xf>
    <xf numFmtId="183" fontId="26" fillId="50" borderId="17" xfId="0" applyNumberFormat="1" applyFont="1" applyFill="1" applyBorder="1" applyAlignment="1" applyProtection="1">
      <alignment wrapText="1"/>
      <protection/>
    </xf>
    <xf numFmtId="183" fontId="26" fillId="51" borderId="17" xfId="0" applyNumberFormat="1" applyFont="1" applyFill="1" applyBorder="1" applyAlignment="1" applyProtection="1">
      <alignment wrapText="1"/>
      <protection/>
    </xf>
    <xf numFmtId="183" fontId="25" fillId="0" borderId="17" xfId="0" applyNumberFormat="1" applyFont="1" applyFill="1" applyBorder="1" applyAlignment="1" applyProtection="1">
      <alignment wrapText="1"/>
      <protection/>
    </xf>
    <xf numFmtId="183" fontId="24" fillId="52" borderId="19" xfId="0" applyNumberFormat="1" applyFont="1" applyFill="1" applyBorder="1" applyAlignment="1" applyProtection="1">
      <alignment horizontal="left" wrapText="1"/>
      <protection/>
    </xf>
    <xf numFmtId="183" fontId="26" fillId="52" borderId="19" xfId="0" applyNumberFormat="1" applyFont="1" applyFill="1" applyBorder="1" applyAlignment="1" applyProtection="1">
      <alignment horizontal="left" wrapText="1"/>
      <protection/>
    </xf>
    <xf numFmtId="183" fontId="26" fillId="28" borderId="19" xfId="0" applyNumberFormat="1" applyFont="1" applyFill="1" applyBorder="1" applyAlignment="1" applyProtection="1">
      <alignment horizontal="left"/>
      <protection/>
    </xf>
    <xf numFmtId="183" fontId="26" fillId="47" borderId="17" xfId="0" applyNumberFormat="1" applyFont="1" applyFill="1" applyBorder="1" applyAlignment="1" applyProtection="1">
      <alignment horizontal="left" wrapText="1"/>
      <protection/>
    </xf>
    <xf numFmtId="183" fontId="26" fillId="48" borderId="17" xfId="0" applyNumberFormat="1" applyFont="1" applyFill="1" applyBorder="1" applyAlignment="1" applyProtection="1">
      <alignment wrapText="1"/>
      <protection/>
    </xf>
    <xf numFmtId="183" fontId="26" fillId="28" borderId="19" xfId="0" applyNumberFormat="1" applyFont="1" applyFill="1" applyBorder="1" applyAlignment="1" applyProtection="1">
      <alignment horizontal="left" wrapText="1"/>
      <protection/>
    </xf>
    <xf numFmtId="183" fontId="26" fillId="52" borderId="17" xfId="0" applyNumberFormat="1" applyFont="1" applyFill="1" applyBorder="1" applyAlignment="1" applyProtection="1">
      <alignment horizontal="left" wrapText="1"/>
      <protection/>
    </xf>
    <xf numFmtId="183" fontId="26" fillId="20" borderId="17" xfId="0" applyNumberFormat="1" applyFont="1" applyFill="1" applyBorder="1" applyAlignment="1" applyProtection="1">
      <alignment horizontal="left" wrapText="1"/>
      <protection/>
    </xf>
    <xf numFmtId="183" fontId="26" fillId="28" borderId="17" xfId="0" applyNumberFormat="1" applyFont="1" applyFill="1" applyBorder="1" applyAlignment="1" applyProtection="1">
      <alignment horizontal="left" wrapText="1"/>
      <protection/>
    </xf>
    <xf numFmtId="183" fontId="26" fillId="20" borderId="17" xfId="0" applyNumberFormat="1" applyFont="1" applyFill="1" applyBorder="1" applyAlignment="1" applyProtection="1">
      <alignment horizontal="left"/>
      <protection/>
    </xf>
    <xf numFmtId="183" fontId="26" fillId="28" borderId="17" xfId="0" applyNumberFormat="1" applyFont="1" applyFill="1" applyBorder="1" applyAlignment="1" applyProtection="1">
      <alignment horizontal="left"/>
      <protection/>
    </xf>
    <xf numFmtId="183" fontId="26" fillId="28" borderId="19" xfId="0" applyNumberFormat="1" applyFont="1" applyFill="1" applyBorder="1" applyAlignment="1" applyProtection="1">
      <alignment horizontal="left" vertical="center" wrapText="1"/>
      <protection/>
    </xf>
    <xf numFmtId="183" fontId="26" fillId="20" borderId="19" xfId="0" applyNumberFormat="1" applyFont="1" applyFill="1" applyBorder="1" applyAlignment="1" applyProtection="1">
      <alignment horizontal="left" wrapText="1"/>
      <protection/>
    </xf>
    <xf numFmtId="183" fontId="23" fillId="0" borderId="17" xfId="0" applyNumberFormat="1" applyFont="1" applyFill="1" applyBorder="1" applyAlignment="1" applyProtection="1">
      <alignment wrapText="1"/>
      <protection/>
    </xf>
    <xf numFmtId="183" fontId="21" fillId="52" borderId="19" xfId="0" applyNumberFormat="1" applyFont="1" applyFill="1" applyBorder="1" applyAlignment="1" applyProtection="1">
      <alignment horizontal="left"/>
      <protection/>
    </xf>
    <xf numFmtId="183" fontId="25" fillId="0" borderId="17" xfId="0" applyNumberFormat="1" applyFont="1" applyFill="1" applyBorder="1" applyAlignment="1" applyProtection="1">
      <alignment wrapText="1"/>
      <protection/>
    </xf>
    <xf numFmtId="183" fontId="26" fillId="24" borderId="19" xfId="0" applyNumberFormat="1" applyFont="1" applyFill="1" applyBorder="1" applyAlignment="1" applyProtection="1">
      <alignment horizontal="center"/>
      <protection/>
    </xf>
    <xf numFmtId="183" fontId="26" fillId="49" borderId="17" xfId="0" applyNumberFormat="1" applyFont="1" applyFill="1" applyBorder="1" applyAlignment="1" applyProtection="1">
      <alignment horizontal="left" wrapText="1"/>
      <protection/>
    </xf>
    <xf numFmtId="183" fontId="26" fillId="52" borderId="20" xfId="0" applyNumberFormat="1" applyFont="1" applyFill="1" applyBorder="1" applyAlignment="1" applyProtection="1">
      <alignment horizontal="left" wrapText="1"/>
      <protection/>
    </xf>
    <xf numFmtId="183" fontId="25" fillId="0" borderId="19" xfId="0" applyNumberFormat="1" applyFont="1" applyFill="1" applyBorder="1" applyAlignment="1" applyProtection="1">
      <alignment wrapText="1"/>
      <protection/>
    </xf>
    <xf numFmtId="0" fontId="31" fillId="20" borderId="20" xfId="0" applyNumberFormat="1" applyFont="1" applyFill="1" applyBorder="1" applyAlignment="1" applyProtection="1">
      <alignment horizontal="left" vertical="center" wrapText="1"/>
      <protection/>
    </xf>
    <xf numFmtId="0" fontId="31" fillId="20" borderId="20" xfId="0" applyNumberFormat="1" applyFont="1" applyFill="1" applyBorder="1" applyAlignment="1" applyProtection="1">
      <alignment horizontal="left" wrapText="1"/>
      <protection/>
    </xf>
    <xf numFmtId="183" fontId="26" fillId="20" borderId="20" xfId="0" applyNumberFormat="1" applyFont="1" applyFill="1" applyBorder="1" applyAlignment="1" applyProtection="1">
      <alignment horizontal="left" wrapText="1"/>
      <protection/>
    </xf>
    <xf numFmtId="0" fontId="37" fillId="20" borderId="17" xfId="0" applyNumberFormat="1" applyFont="1" applyFill="1" applyBorder="1" applyAlignment="1" applyProtection="1">
      <alignment horizontal="left" wrapText="1"/>
      <protection/>
    </xf>
    <xf numFmtId="183" fontId="26" fillId="20" borderId="19" xfId="0" applyNumberFormat="1" applyFont="1" applyFill="1" applyBorder="1" applyAlignment="1" applyProtection="1">
      <alignment horizontal="left"/>
      <protection/>
    </xf>
    <xf numFmtId="0" fontId="31" fillId="20" borderId="17" xfId="0" applyNumberFormat="1" applyFont="1" applyFill="1" applyBorder="1" applyAlignment="1" applyProtection="1">
      <alignment horizontal="left" wrapText="1"/>
      <protection/>
    </xf>
    <xf numFmtId="0" fontId="31" fillId="20" borderId="17" xfId="0" applyNumberFormat="1" applyFont="1" applyFill="1" applyBorder="1" applyAlignment="1" applyProtection="1">
      <alignment/>
      <protection/>
    </xf>
    <xf numFmtId="0" fontId="31" fillId="20" borderId="17" xfId="0" applyNumberFormat="1" applyFont="1" applyFill="1" applyBorder="1" applyAlignment="1" applyProtection="1">
      <alignment horizontal="left"/>
      <protection/>
    </xf>
    <xf numFmtId="3" fontId="26" fillId="28" borderId="17" xfId="0" applyNumberFormat="1" applyFont="1" applyFill="1" applyBorder="1" applyAlignment="1" applyProtection="1">
      <alignment vertical="center" wrapText="1"/>
      <protection/>
    </xf>
    <xf numFmtId="183" fontId="25" fillId="51" borderId="17" xfId="0" applyNumberFormat="1" applyFont="1" applyFill="1" applyBorder="1" applyAlignment="1">
      <alignment horizontal="right"/>
    </xf>
    <xf numFmtId="0" fontId="38" fillId="51" borderId="17" xfId="0" applyNumberFormat="1" applyFont="1" applyFill="1" applyBorder="1" applyAlignment="1" applyProtection="1">
      <alignment horizontal="left" wrapText="1"/>
      <protection/>
    </xf>
    <xf numFmtId="183" fontId="26" fillId="51" borderId="19" xfId="0" applyNumberFormat="1" applyFont="1" applyFill="1" applyBorder="1" applyAlignment="1">
      <alignment horizontal="left"/>
    </xf>
    <xf numFmtId="4" fontId="0" fillId="0" borderId="0" xfId="0" applyNumberFormat="1" applyFill="1" applyBorder="1" applyAlignment="1" applyProtection="1">
      <alignment/>
      <protection/>
    </xf>
    <xf numFmtId="183" fontId="61" fillId="48" borderId="19" xfId="0" applyNumberFormat="1" applyFont="1" applyFill="1" applyBorder="1" applyAlignment="1">
      <alignment vertical="center" wrapText="1"/>
    </xf>
    <xf numFmtId="183" fontId="61" fillId="48" borderId="17" xfId="0" applyNumberFormat="1" applyFont="1" applyFill="1" applyBorder="1" applyAlignment="1">
      <alignment vertical="center" wrapText="1"/>
    </xf>
    <xf numFmtId="183" fontId="65" fillId="20" borderId="19" xfId="0" applyNumberFormat="1" applyFont="1" applyFill="1" applyBorder="1" applyAlignment="1">
      <alignment vertical="center" wrapText="1"/>
    </xf>
    <xf numFmtId="183" fontId="61" fillId="20" borderId="17" xfId="0" applyNumberFormat="1" applyFont="1" applyFill="1" applyBorder="1" applyAlignment="1">
      <alignment vertical="center" wrapText="1"/>
    </xf>
    <xf numFmtId="183" fontId="61" fillId="0" borderId="17" xfId="0" applyNumberFormat="1" applyFont="1" applyBorder="1" applyAlignment="1">
      <alignment horizontal="right" vertical="center"/>
    </xf>
    <xf numFmtId="183" fontId="22" fillId="20" borderId="19" xfId="0" applyNumberFormat="1" applyFont="1" applyFill="1" applyBorder="1" applyAlignment="1">
      <alignment horizontal="right" vertical="center" wrapText="1"/>
    </xf>
    <xf numFmtId="183" fontId="22" fillId="0" borderId="19" xfId="0" applyNumberFormat="1" applyFont="1" applyBorder="1" applyAlignment="1">
      <alignment horizontal="right" vertical="center" wrapText="1"/>
    </xf>
    <xf numFmtId="183" fontId="22" fillId="0" borderId="19" xfId="0" applyNumberFormat="1" applyFont="1" applyBorder="1" applyAlignment="1">
      <alignment horizontal="right" vertical="center"/>
    </xf>
    <xf numFmtId="183" fontId="22" fillId="20" borderId="19" xfId="0" applyNumberFormat="1" applyFont="1" applyFill="1" applyBorder="1" applyAlignment="1">
      <alignment horizontal="right" vertical="center"/>
    </xf>
    <xf numFmtId="183" fontId="33" fillId="20" borderId="19" xfId="0" applyNumberFormat="1" applyFont="1" applyFill="1" applyBorder="1" applyAlignment="1">
      <alignment horizontal="right" vertical="center" wrapText="1"/>
    </xf>
    <xf numFmtId="0" fontId="25" fillId="0" borderId="20" xfId="0" applyNumberFormat="1" applyFont="1" applyFill="1" applyBorder="1" applyAlignment="1" applyProtection="1">
      <alignment horizontal="center"/>
      <protection/>
    </xf>
    <xf numFmtId="0" fontId="26" fillId="0" borderId="20" xfId="0" applyNumberFormat="1" applyFont="1" applyFill="1" applyBorder="1" applyAlignment="1" applyProtection="1">
      <alignment horizontal="center"/>
      <protection/>
    </xf>
    <xf numFmtId="0" fontId="26" fillId="52" borderId="20" xfId="0" applyNumberFormat="1" applyFont="1" applyFill="1" applyBorder="1" applyAlignment="1" applyProtection="1">
      <alignment horizontal="center"/>
      <protection/>
    </xf>
    <xf numFmtId="0" fontId="26" fillId="51" borderId="20" xfId="0" applyNumberFormat="1" applyFont="1" applyFill="1" applyBorder="1" applyAlignment="1" applyProtection="1">
      <alignment horizontal="center"/>
      <protection/>
    </xf>
    <xf numFmtId="183" fontId="25" fillId="51" borderId="17" xfId="0" applyNumberFormat="1" applyFont="1" applyFill="1" applyBorder="1" applyAlignment="1" applyProtection="1">
      <alignment wrapText="1"/>
      <protection/>
    </xf>
    <xf numFmtId="0" fontId="25" fillId="51" borderId="20" xfId="0" applyNumberFormat="1" applyFont="1" applyFill="1" applyBorder="1" applyAlignment="1" applyProtection="1">
      <alignment horizontal="center"/>
      <protection/>
    </xf>
    <xf numFmtId="0" fontId="25" fillId="51" borderId="17" xfId="0" applyNumberFormat="1" applyFont="1" applyFill="1" applyBorder="1" applyAlignment="1" applyProtection="1">
      <alignment wrapText="1"/>
      <protection/>
    </xf>
    <xf numFmtId="0" fontId="26" fillId="53" borderId="20" xfId="0" applyNumberFormat="1" applyFont="1" applyFill="1" applyBorder="1" applyAlignment="1" applyProtection="1">
      <alignment horizontal="center"/>
      <protection/>
    </xf>
    <xf numFmtId="0" fontId="26" fillId="53" borderId="17" xfId="0" applyNumberFormat="1" applyFont="1" applyFill="1" applyBorder="1" applyAlignment="1" applyProtection="1">
      <alignment wrapText="1"/>
      <protection/>
    </xf>
    <xf numFmtId="183" fontId="25" fillId="53" borderId="17" xfId="0" applyNumberFormat="1" applyFont="1" applyFill="1" applyBorder="1" applyAlignment="1" applyProtection="1">
      <alignment wrapText="1"/>
      <protection/>
    </xf>
    <xf numFmtId="0" fontId="26" fillId="48" borderId="20" xfId="0" applyNumberFormat="1" applyFont="1" applyFill="1" applyBorder="1" applyAlignment="1" applyProtection="1">
      <alignment horizontal="center"/>
      <protection/>
    </xf>
    <xf numFmtId="183" fontId="25" fillId="48" borderId="17" xfId="0" applyNumberFormat="1" applyFont="1" applyFill="1" applyBorder="1" applyAlignment="1" applyProtection="1">
      <alignment wrapText="1"/>
      <protection/>
    </xf>
    <xf numFmtId="183" fontId="22" fillId="52" borderId="19" xfId="0" applyNumberFormat="1" applyFont="1" applyFill="1" applyBorder="1" applyAlignment="1" applyProtection="1">
      <alignment horizontal="left"/>
      <protection/>
    </xf>
    <xf numFmtId="0" fontId="22" fillId="52" borderId="20" xfId="0" applyNumberFormat="1" applyFont="1" applyFill="1" applyBorder="1" applyAlignment="1" applyProtection="1">
      <alignment/>
      <protection/>
    </xf>
    <xf numFmtId="0" fontId="22" fillId="52" borderId="17" xfId="0" applyNumberFormat="1" applyFont="1" applyFill="1" applyBorder="1" applyAlignment="1" applyProtection="1">
      <alignment/>
      <protection/>
    </xf>
    <xf numFmtId="183" fontId="26" fillId="0" borderId="19" xfId="0" applyNumberFormat="1" applyFont="1" applyFill="1" applyBorder="1" applyAlignment="1" applyProtection="1">
      <alignment wrapText="1"/>
      <protection/>
    </xf>
    <xf numFmtId="0" fontId="31" fillId="20" borderId="20" xfId="0" applyNumberFormat="1" applyFont="1" applyFill="1" applyBorder="1" applyAlignment="1" applyProtection="1">
      <alignment horizontal="center"/>
      <protection/>
    </xf>
    <xf numFmtId="0" fontId="31" fillId="20" borderId="17" xfId="0" applyNumberFormat="1" applyFont="1" applyFill="1" applyBorder="1" applyAlignment="1" applyProtection="1">
      <alignment wrapText="1"/>
      <protection/>
    </xf>
    <xf numFmtId="183" fontId="26" fillId="20" borderId="17" xfId="0" applyNumberFormat="1" applyFont="1" applyFill="1" applyBorder="1" applyAlignment="1" applyProtection="1">
      <alignment wrapText="1"/>
      <protection/>
    </xf>
    <xf numFmtId="183" fontId="25" fillId="20" borderId="17" xfId="0" applyNumberFormat="1" applyFont="1" applyFill="1" applyBorder="1" applyAlignment="1" applyProtection="1">
      <alignment wrapText="1"/>
      <protection/>
    </xf>
    <xf numFmtId="0" fontId="31" fillId="47" borderId="20" xfId="0" applyNumberFormat="1" applyFont="1" applyFill="1" applyBorder="1" applyAlignment="1" applyProtection="1">
      <alignment horizontal="center"/>
      <protection/>
    </xf>
    <xf numFmtId="183" fontId="26" fillId="47" borderId="17" xfId="0" applyNumberFormat="1" applyFont="1" applyFill="1" applyBorder="1" applyAlignment="1" applyProtection="1">
      <alignment wrapText="1"/>
      <protection/>
    </xf>
    <xf numFmtId="0" fontId="25" fillId="51" borderId="17" xfId="0" applyNumberFormat="1" applyFont="1" applyFill="1" applyBorder="1" applyAlignment="1" applyProtection="1">
      <alignment horizontal="center"/>
      <protection/>
    </xf>
    <xf numFmtId="183" fontId="26" fillId="52" borderId="17" xfId="0" applyNumberFormat="1" applyFont="1" applyFill="1" applyBorder="1" applyAlignment="1" applyProtection="1">
      <alignment wrapText="1"/>
      <protection/>
    </xf>
    <xf numFmtId="183" fontId="26" fillId="51" borderId="17" xfId="0" applyNumberFormat="1" applyFont="1" applyFill="1" applyBorder="1" applyAlignment="1">
      <alignment horizontal="right"/>
    </xf>
    <xf numFmtId="4" fontId="25" fillId="51" borderId="17" xfId="0" applyNumberFormat="1" applyFont="1" applyFill="1" applyBorder="1" applyAlignment="1">
      <alignment horizontal="right"/>
    </xf>
    <xf numFmtId="16" fontId="35" fillId="51" borderId="17" xfId="0" applyNumberFormat="1" applyFont="1" applyFill="1" applyBorder="1" applyAlignment="1" quotePrefix="1">
      <alignment horizontal="left" vertical="center"/>
    </xf>
    <xf numFmtId="3" fontId="26" fillId="47" borderId="17" xfId="0" applyNumberFormat="1" applyFont="1" applyFill="1" applyBorder="1" applyAlignment="1" applyProtection="1">
      <alignment wrapText="1"/>
      <protection/>
    </xf>
    <xf numFmtId="3" fontId="26" fillId="48" borderId="17" xfId="0" applyNumberFormat="1" applyFont="1" applyFill="1" applyBorder="1" applyAlignment="1" applyProtection="1">
      <alignment horizontal="center"/>
      <protection/>
    </xf>
    <xf numFmtId="3" fontId="26" fillId="48" borderId="17" xfId="0" applyNumberFormat="1" applyFont="1" applyFill="1" applyBorder="1" applyAlignment="1" applyProtection="1">
      <alignment wrapText="1"/>
      <protection/>
    </xf>
    <xf numFmtId="3" fontId="25" fillId="51" borderId="17" xfId="0" applyNumberFormat="1" applyFont="1" applyFill="1" applyBorder="1" applyAlignment="1">
      <alignment horizontal="right"/>
    </xf>
    <xf numFmtId="0" fontId="21" fillId="51" borderId="17" xfId="0" applyNumberFormat="1" applyFont="1" applyFill="1" applyBorder="1" applyAlignment="1" applyProtection="1">
      <alignment horizontal="left" vertical="center" wrapText="1"/>
      <protection/>
    </xf>
    <xf numFmtId="0" fontId="35" fillId="51" borderId="17" xfId="0" applyFont="1" applyFill="1" applyBorder="1" applyAlignment="1" quotePrefix="1">
      <alignment horizontal="left" vertical="center"/>
    </xf>
    <xf numFmtId="0" fontId="35" fillId="51" borderId="17" xfId="0" applyFont="1" applyFill="1" applyBorder="1" applyAlignment="1" quotePrefix="1">
      <alignment horizontal="left" vertical="center" wrapText="1"/>
    </xf>
    <xf numFmtId="3" fontId="25" fillId="51" borderId="17" xfId="0" applyNumberFormat="1" applyFont="1" applyFill="1" applyBorder="1" applyAlignment="1" applyProtection="1">
      <alignment horizontal="right" wrapText="1"/>
      <protection/>
    </xf>
    <xf numFmtId="3" fontId="26" fillId="47" borderId="17" xfId="0" applyNumberFormat="1" applyFont="1" applyFill="1" applyBorder="1" applyAlignment="1" applyProtection="1">
      <alignment horizontal="left"/>
      <protection/>
    </xf>
    <xf numFmtId="183" fontId="26" fillId="47" borderId="17" xfId="0" applyNumberFormat="1" applyFont="1" applyFill="1" applyBorder="1" applyAlignment="1" applyProtection="1">
      <alignment horizontal="left" wrapText="1"/>
      <protection/>
    </xf>
    <xf numFmtId="183" fontId="26" fillId="48" borderId="17" xfId="0" applyNumberFormat="1" applyFont="1" applyFill="1" applyBorder="1" applyAlignment="1" applyProtection="1">
      <alignment wrapText="1"/>
      <protection/>
    </xf>
    <xf numFmtId="183" fontId="26" fillId="20" borderId="17" xfId="0" applyNumberFormat="1" applyFont="1" applyFill="1" applyBorder="1" applyAlignment="1" applyProtection="1">
      <alignment horizontal="left"/>
      <protection/>
    </xf>
    <xf numFmtId="183" fontId="26" fillId="28" borderId="17" xfId="0" applyNumberFormat="1" applyFont="1" applyFill="1" applyBorder="1" applyAlignment="1" applyProtection="1">
      <alignment horizontal="left"/>
      <protection/>
    </xf>
    <xf numFmtId="0" fontId="31" fillId="20" borderId="20" xfId="0" applyNumberFormat="1" applyFont="1" applyFill="1" applyBorder="1" applyAlignment="1" applyProtection="1">
      <alignment horizontal="left" vertical="center" wrapText="1"/>
      <protection/>
    </xf>
    <xf numFmtId="0" fontId="31" fillId="20" borderId="17" xfId="0" applyNumberFormat="1" applyFont="1" applyFill="1" applyBorder="1" applyAlignment="1" applyProtection="1">
      <alignment horizontal="left" wrapText="1"/>
      <protection/>
    </xf>
    <xf numFmtId="3" fontId="26" fillId="28" borderId="17" xfId="0" applyNumberFormat="1" applyFont="1" applyFill="1" applyBorder="1" applyAlignment="1" applyProtection="1">
      <alignment/>
      <protection/>
    </xf>
    <xf numFmtId="183" fontId="25" fillId="51" borderId="17" xfId="0" applyNumberFormat="1" applyFont="1" applyFill="1" applyBorder="1" applyAlignment="1">
      <alignment horizontal="right"/>
    </xf>
    <xf numFmtId="0" fontId="39" fillId="51" borderId="17" xfId="0" applyFont="1" applyFill="1" applyBorder="1" applyAlignment="1" quotePrefix="1">
      <alignment horizontal="left" vertical="center"/>
    </xf>
    <xf numFmtId="183" fontId="26" fillId="51" borderId="19" xfId="0" applyNumberFormat="1" applyFont="1" applyFill="1" applyBorder="1" applyAlignment="1">
      <alignment horizontal="center"/>
    </xf>
    <xf numFmtId="183" fontId="25" fillId="51" borderId="19" xfId="0" applyNumberFormat="1" applyFont="1" applyFill="1" applyBorder="1" applyAlignment="1">
      <alignment horizontal="center"/>
    </xf>
    <xf numFmtId="4" fontId="25" fillId="0" borderId="17" xfId="0" applyNumberFormat="1" applyFont="1" applyFill="1" applyBorder="1" applyAlignment="1" applyProtection="1">
      <alignment horizontal="center"/>
      <protection/>
    </xf>
    <xf numFmtId="0" fontId="61" fillId="0" borderId="20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33" fillId="20" borderId="20" xfId="0" applyFont="1" applyFill="1" applyBorder="1" applyAlignment="1">
      <alignment vertical="center" wrapText="1"/>
    </xf>
    <xf numFmtId="0" fontId="33" fillId="20" borderId="19" xfId="0" applyFont="1" applyFill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20" borderId="20" xfId="0" applyFont="1" applyFill="1" applyBorder="1" applyAlignment="1">
      <alignment vertical="center" wrapText="1"/>
    </xf>
    <xf numFmtId="0" fontId="22" fillId="20" borderId="19" xfId="0" applyFont="1" applyFill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65" fillId="20" borderId="20" xfId="0" applyFont="1" applyFill="1" applyBorder="1" applyAlignment="1">
      <alignment vertical="center" wrapText="1"/>
    </xf>
    <xf numFmtId="0" fontId="65" fillId="20" borderId="19" xfId="0" applyFont="1" applyFill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61" fillId="48" borderId="20" xfId="0" applyFont="1" applyFill="1" applyBorder="1" applyAlignment="1">
      <alignment horizontal="left" vertical="center" wrapText="1"/>
    </xf>
    <xf numFmtId="0" fontId="61" fillId="48" borderId="19" xfId="0" applyFont="1" applyFill="1" applyBorder="1" applyAlignment="1">
      <alignment horizontal="left" vertical="center" wrapText="1"/>
    </xf>
    <xf numFmtId="0" fontId="22" fillId="0" borderId="20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20" borderId="20" xfId="0" applyFont="1" applyFill="1" applyBorder="1" applyAlignment="1">
      <alignment vertical="center"/>
    </xf>
    <xf numFmtId="0" fontId="22" fillId="20" borderId="19" xfId="0" applyFont="1" applyFill="1" applyBorder="1" applyAlignment="1">
      <alignment vertical="center"/>
    </xf>
    <xf numFmtId="0" fontId="22" fillId="0" borderId="20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vertical="center" wrapText="1"/>
      <protection/>
    </xf>
    <xf numFmtId="0" fontId="63" fillId="0" borderId="0" xfId="0" applyFont="1" applyAlignment="1">
      <alignment wrapText="1"/>
    </xf>
    <xf numFmtId="0" fontId="63" fillId="0" borderId="0" xfId="0" applyFont="1" applyAlignment="1">
      <alignment vertical="center" wrapText="1"/>
    </xf>
    <xf numFmtId="0" fontId="28" fillId="0" borderId="0" xfId="0" applyNumberFormat="1" applyFont="1" applyFill="1" applyBorder="1" applyAlignment="1" applyProtection="1">
      <alignment horizontal="center" wrapText="1"/>
      <protection/>
    </xf>
    <xf numFmtId="0" fontId="26" fillId="24" borderId="20" xfId="0" applyNumberFormat="1" applyFont="1" applyFill="1" applyBorder="1" applyAlignment="1" applyProtection="1">
      <alignment horizontal="center"/>
      <protection/>
    </xf>
    <xf numFmtId="0" fontId="26" fillId="24" borderId="19" xfId="0" applyNumberFormat="1" applyFont="1" applyFill="1" applyBorder="1" applyAlignment="1" applyProtection="1">
      <alignment horizontal="center"/>
      <protection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" xfId="87"/>
    <cellStyle name="Normalno 2" xfId="88"/>
    <cellStyle name="Note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PageLayoutView="0" workbookViewId="0" topLeftCell="A1">
      <selection activeCell="A26" sqref="A26:L26"/>
    </sheetView>
  </sheetViews>
  <sheetFormatPr defaultColWidth="11.421875" defaultRowHeight="12.75"/>
  <cols>
    <col min="1" max="1" width="8.421875" style="1" customWidth="1"/>
    <col min="2" max="2" width="42.57421875" style="1" customWidth="1"/>
    <col min="3" max="12" width="15.8515625" style="1" customWidth="1"/>
    <col min="13" max="16384" width="11.421875" style="1" customWidth="1"/>
  </cols>
  <sheetData>
    <row r="1" spans="2:12" ht="39" customHeight="1">
      <c r="B1" s="228" t="s">
        <v>88</v>
      </c>
      <c r="C1" s="228"/>
      <c r="D1" s="228"/>
      <c r="E1" s="228"/>
      <c r="F1" s="228"/>
      <c r="G1" s="228"/>
      <c r="H1" s="228"/>
      <c r="I1" s="228"/>
      <c r="J1" s="228"/>
      <c r="K1" s="50"/>
      <c r="L1" s="55"/>
    </row>
    <row r="2" spans="1:12" ht="24" customHeight="1">
      <c r="A2" s="42"/>
      <c r="B2" s="229" t="s">
        <v>235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s="6" customFormat="1" ht="17.25" customHeight="1">
      <c r="A3" s="229" t="s">
        <v>26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</row>
    <row r="4" spans="1:12" s="6" customFormat="1" ht="21.75" customHeight="1">
      <c r="A4" s="42"/>
      <c r="B4" s="229" t="s">
        <v>78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</row>
    <row r="5" spans="1:12" ht="14.25" customHeight="1">
      <c r="A5" s="26"/>
      <c r="B5" s="26"/>
      <c r="C5" s="26"/>
      <c r="D5" s="26"/>
      <c r="E5" s="26"/>
      <c r="F5" s="26"/>
      <c r="G5" s="26"/>
      <c r="H5" s="27"/>
      <c r="I5" s="27"/>
      <c r="J5" s="27"/>
      <c r="K5" s="27"/>
      <c r="L5" s="46" t="s">
        <v>79</v>
      </c>
    </row>
    <row r="6" spans="1:12" ht="25.5" customHeight="1">
      <c r="A6" s="40"/>
      <c r="B6" s="41"/>
      <c r="C6" s="206" t="s">
        <v>83</v>
      </c>
      <c r="D6" s="207"/>
      <c r="E6" s="206" t="s">
        <v>84</v>
      </c>
      <c r="F6" s="207"/>
      <c r="G6" s="206" t="s">
        <v>80</v>
      </c>
      <c r="H6" s="207"/>
      <c r="I6" s="206" t="s">
        <v>81</v>
      </c>
      <c r="J6" s="207"/>
      <c r="K6" s="206" t="s">
        <v>82</v>
      </c>
      <c r="L6" s="207"/>
    </row>
    <row r="7" spans="1:12" ht="13.5" customHeight="1">
      <c r="A7" s="44"/>
      <c r="B7" s="45"/>
      <c r="C7" s="77" t="s">
        <v>131</v>
      </c>
      <c r="D7" s="78" t="s">
        <v>130</v>
      </c>
      <c r="E7" s="77" t="s">
        <v>131</v>
      </c>
      <c r="F7" s="78" t="s">
        <v>130</v>
      </c>
      <c r="G7" s="77" t="s">
        <v>131</v>
      </c>
      <c r="H7" s="78" t="s">
        <v>130</v>
      </c>
      <c r="I7" s="77" t="s">
        <v>131</v>
      </c>
      <c r="J7" s="78" t="s">
        <v>130</v>
      </c>
      <c r="K7" s="77" t="s">
        <v>131</v>
      </c>
      <c r="L7" s="78" t="s">
        <v>130</v>
      </c>
    </row>
    <row r="8" spans="1:12" s="5" customFormat="1" ht="26.25" customHeight="1">
      <c r="A8" s="212" t="s">
        <v>27</v>
      </c>
      <c r="B8" s="213"/>
      <c r="C8" s="153">
        <f>C9+C10</f>
        <v>5302156.7</v>
      </c>
      <c r="D8" s="153">
        <f>D9+D10</f>
        <v>703717.125443626</v>
      </c>
      <c r="E8" s="153">
        <f aca="true" t="shared" si="0" ref="E8:K8">E9+E10</f>
        <v>5189283</v>
      </c>
      <c r="F8" s="153">
        <f t="shared" si="0"/>
        <v>688736.2141535602</v>
      </c>
      <c r="G8" s="153">
        <f>G9+G10</f>
        <v>5202090</v>
      </c>
      <c r="H8" s="153">
        <f>H9+H10</f>
        <v>690436</v>
      </c>
      <c r="I8" s="153">
        <f t="shared" si="0"/>
        <v>5194090</v>
      </c>
      <c r="J8" s="153">
        <f t="shared" si="0"/>
        <v>689374.22</v>
      </c>
      <c r="K8" s="153">
        <f t="shared" si="0"/>
        <v>5194090</v>
      </c>
      <c r="L8" s="153">
        <f>L9+L10</f>
        <v>689374.22</v>
      </c>
    </row>
    <row r="9" spans="1:12" ht="15.75" customHeight="1">
      <c r="A9" s="210" t="s">
        <v>0</v>
      </c>
      <c r="B9" s="211"/>
      <c r="C9" s="154">
        <v>5297183.73</v>
      </c>
      <c r="D9" s="154">
        <f>'RAČUN PRIHODA I RASHODA'!E10</f>
        <v>703057.0988990642</v>
      </c>
      <c r="E9" s="154">
        <v>5183783</v>
      </c>
      <c r="F9" s="154">
        <f>'RAČUN PRIHODA I RASHODA'!F10</f>
        <v>688006.2387072798</v>
      </c>
      <c r="G9" s="154">
        <v>5198090</v>
      </c>
      <c r="H9" s="154">
        <v>689905.11</v>
      </c>
      <c r="I9" s="152">
        <v>5190090</v>
      </c>
      <c r="J9" s="154">
        <f>'RAČUN PRIHODA I RASHODA'!H10</f>
        <v>688843.33</v>
      </c>
      <c r="K9" s="152">
        <v>5190090</v>
      </c>
      <c r="L9" s="154">
        <v>688843.33</v>
      </c>
    </row>
    <row r="10" spans="1:12" ht="15.75" customHeight="1">
      <c r="A10" s="220" t="s">
        <v>61</v>
      </c>
      <c r="B10" s="221"/>
      <c r="C10" s="154">
        <f>D10*7.5345</f>
        <v>4972.97</v>
      </c>
      <c r="D10" s="155">
        <f>'RAČUN PRIHODA I RASHODA'!E26</f>
        <v>660.026544561683</v>
      </c>
      <c r="E10" s="154">
        <f>F10*7.5345</f>
        <v>5500</v>
      </c>
      <c r="F10" s="155">
        <f>'RAČUN PRIHODA I RASHODA'!F67</f>
        <v>729.9754462804433</v>
      </c>
      <c r="G10" s="154">
        <v>4000</v>
      </c>
      <c r="H10" s="155">
        <f>'RAČUN PRIHODA I RASHODA'!H26</f>
        <v>530.89</v>
      </c>
      <c r="I10" s="152">
        <v>4000</v>
      </c>
      <c r="J10" s="155">
        <f>'RAČUN PRIHODA I RASHODA'!H26</f>
        <v>530.89</v>
      </c>
      <c r="K10" s="152">
        <v>4000</v>
      </c>
      <c r="L10" s="155">
        <f>'RAČUN PRIHODA I RASHODA'!G26</f>
        <v>530.89</v>
      </c>
    </row>
    <row r="11" spans="1:12" ht="12.75">
      <c r="A11" s="222" t="s">
        <v>28</v>
      </c>
      <c r="B11" s="223"/>
      <c r="C11" s="156">
        <f>C12+C13</f>
        <v>5329988.32</v>
      </c>
      <c r="D11" s="156">
        <f aca="true" t="shared" si="1" ref="D11:K11">D12+D13</f>
        <v>707411.0212296768</v>
      </c>
      <c r="E11" s="156">
        <f t="shared" si="1"/>
        <v>5273743</v>
      </c>
      <c r="F11" s="156">
        <f t="shared" si="1"/>
        <v>699946.0030526245</v>
      </c>
      <c r="G11" s="156">
        <f>G12+G13</f>
        <v>5222090</v>
      </c>
      <c r="H11" s="156">
        <f t="shared" si="1"/>
        <v>693090.4561682924</v>
      </c>
      <c r="I11" s="156">
        <f t="shared" si="1"/>
        <v>5194090</v>
      </c>
      <c r="J11" s="156">
        <f t="shared" si="1"/>
        <v>689374.22</v>
      </c>
      <c r="K11" s="156">
        <f t="shared" si="1"/>
        <v>5194090</v>
      </c>
      <c r="L11" s="156">
        <f>L12+L13</f>
        <v>689374.22</v>
      </c>
    </row>
    <row r="12" spans="1:12" ht="12.75" customHeight="1">
      <c r="A12" s="210" t="s">
        <v>1</v>
      </c>
      <c r="B12" s="211"/>
      <c r="C12" s="154">
        <v>5070730.16</v>
      </c>
      <c r="D12" s="154">
        <f>'RAČUN PRIHODA I RASHODA'!E39</f>
        <v>673001.5512296768</v>
      </c>
      <c r="E12" s="154">
        <v>5268243</v>
      </c>
      <c r="F12" s="154">
        <f>'RAČUN PRIHODA I RASHODA'!F39</f>
        <v>699216.0276063441</v>
      </c>
      <c r="G12" s="154">
        <v>5218090</v>
      </c>
      <c r="H12" s="152">
        <f>'RAČUN PRIHODA I RASHODA'!G39</f>
        <v>692559.5661682924</v>
      </c>
      <c r="I12" s="152">
        <v>5190090</v>
      </c>
      <c r="J12" s="152">
        <f>'RAČUN PRIHODA I RASHODA'!I39</f>
        <v>688843.33</v>
      </c>
      <c r="K12" s="152">
        <v>5190090</v>
      </c>
      <c r="L12" s="152">
        <f>'RAČUN PRIHODA I RASHODA'!I39</f>
        <v>688843.33</v>
      </c>
    </row>
    <row r="13" spans="1:12" ht="15.75" customHeight="1">
      <c r="A13" s="220" t="s">
        <v>2</v>
      </c>
      <c r="B13" s="221"/>
      <c r="C13" s="155">
        <v>259258.16</v>
      </c>
      <c r="D13" s="155">
        <f>'RAČUN PRIHODA I RASHODA'!E67</f>
        <v>34409.47</v>
      </c>
      <c r="E13" s="155">
        <f>F13*7.5345</f>
        <v>5500</v>
      </c>
      <c r="F13" s="155">
        <f>'RAČUN PRIHODA I RASHODA'!F26</f>
        <v>729.9754462804433</v>
      </c>
      <c r="G13" s="155">
        <v>4000</v>
      </c>
      <c r="H13" s="152">
        <f>'RAČUN PRIHODA I RASHODA'!G67</f>
        <v>530.89</v>
      </c>
      <c r="I13" s="152">
        <v>4000</v>
      </c>
      <c r="J13" s="152">
        <f>'RAČUN PRIHODA I RASHODA'!H67</f>
        <v>530.89</v>
      </c>
      <c r="K13" s="152">
        <v>4000</v>
      </c>
      <c r="L13" s="152">
        <v>530.89</v>
      </c>
    </row>
    <row r="14" spans="1:12" ht="27.75" customHeight="1">
      <c r="A14" s="208" t="s">
        <v>3</v>
      </c>
      <c r="B14" s="209"/>
      <c r="C14" s="157">
        <f>C8-C11</f>
        <v>-27831.62000000011</v>
      </c>
      <c r="D14" s="157">
        <f aca="true" t="shared" si="2" ref="D14:L14">D8-D11</f>
        <v>-3693.8957860508235</v>
      </c>
      <c r="E14" s="157">
        <f t="shared" si="2"/>
        <v>-84460</v>
      </c>
      <c r="F14" s="157">
        <f t="shared" si="2"/>
        <v>-11209.788899064297</v>
      </c>
      <c r="G14" s="157">
        <f t="shared" si="2"/>
        <v>-20000</v>
      </c>
      <c r="H14" s="157">
        <f t="shared" si="2"/>
        <v>-2654.4561682924395</v>
      </c>
      <c r="I14" s="157">
        <f t="shared" si="2"/>
        <v>0</v>
      </c>
      <c r="J14" s="157">
        <f t="shared" si="2"/>
        <v>0</v>
      </c>
      <c r="K14" s="157">
        <f t="shared" si="2"/>
        <v>0</v>
      </c>
      <c r="L14" s="157">
        <f t="shared" si="2"/>
        <v>0</v>
      </c>
    </row>
    <row r="15" spans="1:12" ht="36" customHeight="1">
      <c r="A15" s="214" t="s">
        <v>85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</row>
    <row r="16" spans="1:12" ht="29.25" customHeight="1">
      <c r="A16" s="226"/>
      <c r="B16" s="227"/>
      <c r="C16" s="206" t="s">
        <v>83</v>
      </c>
      <c r="D16" s="207"/>
      <c r="E16" s="206" t="s">
        <v>84</v>
      </c>
      <c r="F16" s="207"/>
      <c r="G16" s="206" t="s">
        <v>80</v>
      </c>
      <c r="H16" s="207"/>
      <c r="I16" s="206" t="s">
        <v>81</v>
      </c>
      <c r="J16" s="207"/>
      <c r="K16" s="206" t="s">
        <v>82</v>
      </c>
      <c r="L16" s="207"/>
    </row>
    <row r="17" spans="1:12" ht="16.5" customHeight="1">
      <c r="A17" s="51"/>
      <c r="B17" s="52"/>
      <c r="C17" s="77" t="s">
        <v>131</v>
      </c>
      <c r="D17" s="78" t="s">
        <v>130</v>
      </c>
      <c r="E17" s="77" t="s">
        <v>131</v>
      </c>
      <c r="F17" s="78" t="s">
        <v>130</v>
      </c>
      <c r="G17" s="77" t="s">
        <v>131</v>
      </c>
      <c r="H17" s="78" t="s">
        <v>130</v>
      </c>
      <c r="I17" s="77" t="s">
        <v>131</v>
      </c>
      <c r="J17" s="78" t="s">
        <v>130</v>
      </c>
      <c r="K17" s="77" t="s">
        <v>131</v>
      </c>
      <c r="L17" s="78" t="s">
        <v>130</v>
      </c>
    </row>
    <row r="18" spans="1:13" ht="21.75" customHeight="1">
      <c r="A18" s="224" t="s">
        <v>4</v>
      </c>
      <c r="B18" s="225"/>
      <c r="C18" s="48"/>
      <c r="D18" s="47"/>
      <c r="E18" s="39"/>
      <c r="F18" s="39"/>
      <c r="G18" s="39"/>
      <c r="H18" s="39"/>
      <c r="I18" s="39"/>
      <c r="J18" s="35"/>
      <c r="K18" s="35"/>
      <c r="L18" s="28"/>
      <c r="M18" s="49"/>
    </row>
    <row r="19" spans="1:13" ht="21.75" customHeight="1">
      <c r="A19" s="224" t="s">
        <v>5</v>
      </c>
      <c r="B19" s="225"/>
      <c r="C19" s="48"/>
      <c r="D19" s="47"/>
      <c r="E19" s="39"/>
      <c r="F19" s="39"/>
      <c r="G19" s="39"/>
      <c r="H19" s="39"/>
      <c r="I19" s="39"/>
      <c r="J19" s="35"/>
      <c r="K19" s="35"/>
      <c r="L19" s="28"/>
      <c r="M19" s="49"/>
    </row>
    <row r="20" spans="1:12" ht="21.75" customHeight="1">
      <c r="A20" s="224" t="s">
        <v>6</v>
      </c>
      <c r="B20" s="225"/>
      <c r="C20" s="48"/>
      <c r="D20" s="53"/>
      <c r="E20" s="53"/>
      <c r="F20" s="53"/>
      <c r="G20" s="53"/>
      <c r="H20" s="54"/>
      <c r="I20" s="54"/>
      <c r="J20" s="54"/>
      <c r="K20" s="54"/>
      <c r="L20" s="54"/>
    </row>
    <row r="21" spans="1:12" ht="42.75" customHeight="1">
      <c r="A21" s="214" t="s">
        <v>86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</row>
    <row r="22" spans="1:12" ht="25.5" customHeight="1">
      <c r="A22" s="206"/>
      <c r="B22" s="207"/>
      <c r="C22" s="206" t="s">
        <v>83</v>
      </c>
      <c r="D22" s="207"/>
      <c r="E22" s="206" t="s">
        <v>84</v>
      </c>
      <c r="F22" s="207"/>
      <c r="G22" s="206" t="s">
        <v>80</v>
      </c>
      <c r="H22" s="207"/>
      <c r="I22" s="206" t="s">
        <v>81</v>
      </c>
      <c r="J22" s="207"/>
      <c r="K22" s="206" t="s">
        <v>82</v>
      </c>
      <c r="L22" s="207"/>
    </row>
    <row r="23" spans="1:12" ht="14.25" customHeight="1">
      <c r="A23" s="44"/>
      <c r="B23" s="45"/>
      <c r="C23" s="77" t="s">
        <v>131</v>
      </c>
      <c r="D23" s="78" t="s">
        <v>130</v>
      </c>
      <c r="E23" s="77" t="s">
        <v>131</v>
      </c>
      <c r="F23" s="78" t="s">
        <v>130</v>
      </c>
      <c r="G23" s="77" t="s">
        <v>131</v>
      </c>
      <c r="H23" s="78" t="s">
        <v>130</v>
      </c>
      <c r="I23" s="77" t="s">
        <v>131</v>
      </c>
      <c r="J23" s="78" t="s">
        <v>130</v>
      </c>
      <c r="K23" s="77" t="s">
        <v>131</v>
      </c>
      <c r="L23" s="78" t="s">
        <v>130</v>
      </c>
    </row>
    <row r="24" spans="1:12" ht="28.5" customHeight="1">
      <c r="A24" s="218" t="s">
        <v>65</v>
      </c>
      <c r="B24" s="219"/>
      <c r="C24" s="148">
        <f>D24*7.5345</f>
        <v>126921.33999999998</v>
      </c>
      <c r="D24" s="148">
        <f>'RAČUN PRIHODA I RASHODA'!E29</f>
        <v>16845.35669254761</v>
      </c>
      <c r="E24" s="148">
        <f>F24*7.5345</f>
        <v>84460.16275500001</v>
      </c>
      <c r="F24" s="148">
        <v>11209.79</v>
      </c>
      <c r="G24" s="148">
        <v>20000</v>
      </c>
      <c r="H24" s="149">
        <f>'RAČUN PRIHODA I RASHODA'!G29</f>
        <v>2654.46</v>
      </c>
      <c r="I24" s="148">
        <f>J24*7.5345</f>
        <v>0</v>
      </c>
      <c r="J24" s="149">
        <f>'RAČUN PRIHODA I RASHODA'!H29</f>
        <v>0</v>
      </c>
      <c r="K24" s="148">
        <f>L24*7.5345</f>
        <v>0</v>
      </c>
      <c r="L24" s="149">
        <f>'RAČUN PRIHODA I RASHODA'!I29</f>
        <v>0</v>
      </c>
    </row>
    <row r="25" spans="1:12" ht="36" customHeight="1">
      <c r="A25" s="215" t="s">
        <v>87</v>
      </c>
      <c r="B25" s="216"/>
      <c r="C25" s="148">
        <f>D25*7.5345</f>
        <v>126921.33999999998</v>
      </c>
      <c r="D25" s="150">
        <f>D24</f>
        <v>16845.35669254761</v>
      </c>
      <c r="E25" s="148">
        <f>F25*7.5345</f>
        <v>0</v>
      </c>
      <c r="F25" s="150"/>
      <c r="G25" s="148">
        <v>20000</v>
      </c>
      <c r="H25" s="151">
        <f>H24</f>
        <v>2654.46</v>
      </c>
      <c r="I25" s="148">
        <f>J25*7.5345</f>
        <v>0</v>
      </c>
      <c r="J25" s="151">
        <f>J24</f>
        <v>0</v>
      </c>
      <c r="K25" s="148">
        <f>L25*7.5345</f>
        <v>0</v>
      </c>
      <c r="L25" s="151">
        <f>L24</f>
        <v>0</v>
      </c>
    </row>
    <row r="26" spans="1:12" ht="21" customHeight="1">
      <c r="A26" s="217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</row>
    <row r="27" spans="1:12" ht="28.5" customHeight="1">
      <c r="A27" s="210" t="s">
        <v>7</v>
      </c>
      <c r="B27" s="211"/>
      <c r="C27" s="39"/>
      <c r="D27" s="39"/>
      <c r="E27" s="39"/>
      <c r="F27" s="39"/>
      <c r="G27" s="39"/>
      <c r="H27" s="35"/>
      <c r="I27" s="35"/>
      <c r="J27" s="29"/>
      <c r="K27" s="29"/>
      <c r="L27" s="29"/>
    </row>
  </sheetData>
  <sheetProtection/>
  <mergeCells count="37">
    <mergeCell ref="A19:B19"/>
    <mergeCell ref="A20:B20"/>
    <mergeCell ref="A16:B16"/>
    <mergeCell ref="A21:L21"/>
    <mergeCell ref="B1:J1"/>
    <mergeCell ref="B4:L4"/>
    <mergeCell ref="B2:L2"/>
    <mergeCell ref="A18:B18"/>
    <mergeCell ref="A3:L3"/>
    <mergeCell ref="A13:B13"/>
    <mergeCell ref="A27:B27"/>
    <mergeCell ref="A12:B12"/>
    <mergeCell ref="A8:B8"/>
    <mergeCell ref="A15:L15"/>
    <mergeCell ref="A25:B25"/>
    <mergeCell ref="A26:L26"/>
    <mergeCell ref="A22:B22"/>
    <mergeCell ref="A24:B24"/>
    <mergeCell ref="A10:B10"/>
    <mergeCell ref="A11:B11"/>
    <mergeCell ref="K16:L16"/>
    <mergeCell ref="A14:B14"/>
    <mergeCell ref="A9:B9"/>
    <mergeCell ref="C6:D6"/>
    <mergeCell ref="E6:F6"/>
    <mergeCell ref="G6:H6"/>
    <mergeCell ref="I6:J6"/>
    <mergeCell ref="C22:D22"/>
    <mergeCell ref="E22:F22"/>
    <mergeCell ref="G22:H22"/>
    <mergeCell ref="I22:J22"/>
    <mergeCell ref="K22:L22"/>
    <mergeCell ref="K6:L6"/>
    <mergeCell ref="C16:D16"/>
    <mergeCell ref="E16:F16"/>
    <mergeCell ref="G16:H16"/>
    <mergeCell ref="I16:J16"/>
  </mergeCells>
  <printOptions horizontalCentered="1"/>
  <pageMargins left="0.1968503937007874" right="0.1968503937007874" top="0.6299212598425197" bottom="0.4330708661417323" header="0.31496062992125984" footer="0.31496062992125984"/>
  <pageSetup fitToHeight="0" fitToWidth="1" horizontalDpi="600" verticalDpi="600" orientation="landscape" paperSize="9" scale="70" r:id="rId1"/>
  <ignoredErrors>
    <ignoredError sqref="D9:D10 F9 J9 D12:D13 E11 F12 H12 C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4">
      <selection activeCell="I22" sqref="I22"/>
    </sheetView>
  </sheetViews>
  <sheetFormatPr defaultColWidth="9.140625" defaultRowHeight="12.75"/>
  <cols>
    <col min="1" max="1" width="7.57421875" style="0" customWidth="1"/>
    <col min="2" max="2" width="8.57421875" style="0" customWidth="1"/>
    <col min="3" max="3" width="7.00390625" style="0" customWidth="1"/>
    <col min="4" max="4" width="26.00390625" style="0" customWidth="1"/>
    <col min="5" max="9" width="22.7109375" style="0" customWidth="1"/>
    <col min="13" max="14" width="11.28125" style="0" bestFit="1" customWidth="1"/>
  </cols>
  <sheetData>
    <row r="1" spans="1:9" ht="34.5" customHeight="1">
      <c r="A1" s="230" t="s">
        <v>89</v>
      </c>
      <c r="B1" s="230"/>
      <c r="C1" s="230"/>
      <c r="D1" s="230"/>
      <c r="E1" s="230"/>
      <c r="F1" s="230"/>
      <c r="G1" s="230"/>
      <c r="H1" s="230"/>
      <c r="I1" s="230"/>
    </row>
    <row r="2" spans="1:9" ht="18" customHeight="1">
      <c r="A2" s="43"/>
      <c r="B2" s="43"/>
      <c r="C2" s="229" t="s">
        <v>235</v>
      </c>
      <c r="D2" s="229"/>
      <c r="E2" s="229"/>
      <c r="F2" s="229"/>
      <c r="G2" s="229"/>
      <c r="H2" s="229"/>
      <c r="I2" s="229"/>
    </row>
    <row r="3" spans="1:9" ht="25.5" customHeight="1">
      <c r="A3" s="230" t="s">
        <v>90</v>
      </c>
      <c r="B3" s="230"/>
      <c r="C3" s="230"/>
      <c r="D3" s="230"/>
      <c r="E3" s="230"/>
      <c r="F3" s="230"/>
      <c r="G3" s="230"/>
      <c r="H3" s="231"/>
      <c r="I3" s="231"/>
    </row>
    <row r="4" spans="1:9" ht="13.5" customHeight="1">
      <c r="A4" s="43"/>
      <c r="B4" s="43"/>
      <c r="C4" s="43"/>
      <c r="D4" s="43"/>
      <c r="E4" s="43"/>
      <c r="F4" s="43"/>
      <c r="G4" s="43"/>
      <c r="H4" s="3"/>
      <c r="I4" s="3"/>
    </row>
    <row r="5" spans="1:9" ht="15.75">
      <c r="A5" s="230" t="s">
        <v>91</v>
      </c>
      <c r="B5" s="232"/>
      <c r="C5" s="232"/>
      <c r="D5" s="232"/>
      <c r="E5" s="232"/>
      <c r="F5" s="232"/>
      <c r="G5" s="232"/>
      <c r="H5" s="232"/>
      <c r="I5" s="232"/>
    </row>
    <row r="6" spans="1:9" ht="18">
      <c r="A6" s="43"/>
      <c r="B6" s="43"/>
      <c r="C6" s="43"/>
      <c r="D6" s="43"/>
      <c r="E6" s="43"/>
      <c r="F6" s="43"/>
      <c r="G6" s="43"/>
      <c r="H6" s="3"/>
      <c r="I6" s="3"/>
    </row>
    <row r="7" spans="1:9" ht="15.75">
      <c r="A7" s="230" t="s">
        <v>0</v>
      </c>
      <c r="B7" s="233"/>
      <c r="C7" s="233"/>
      <c r="D7" s="233"/>
      <c r="E7" s="233"/>
      <c r="F7" s="233"/>
      <c r="G7" s="233"/>
      <c r="H7" s="233"/>
      <c r="I7" s="233"/>
    </row>
    <row r="8" spans="1:9" ht="18">
      <c r="A8" s="43"/>
      <c r="B8" s="43"/>
      <c r="C8" s="43"/>
      <c r="D8" s="43"/>
      <c r="E8" s="43"/>
      <c r="F8" s="43"/>
      <c r="G8" s="43"/>
      <c r="H8" s="3"/>
      <c r="I8" s="3"/>
    </row>
    <row r="9" spans="1:9" ht="25.5">
      <c r="A9" s="57" t="s">
        <v>92</v>
      </c>
      <c r="B9" s="58" t="s">
        <v>93</v>
      </c>
      <c r="C9" s="58" t="s">
        <v>94</v>
      </c>
      <c r="D9" s="58" t="s">
        <v>95</v>
      </c>
      <c r="E9" s="58" t="s">
        <v>83</v>
      </c>
      <c r="F9" s="57" t="s">
        <v>84</v>
      </c>
      <c r="G9" s="57" t="s">
        <v>96</v>
      </c>
      <c r="H9" s="57" t="s">
        <v>97</v>
      </c>
      <c r="I9" s="57" t="s">
        <v>98</v>
      </c>
    </row>
    <row r="10" spans="1:9" ht="30.75" customHeight="1">
      <c r="A10" s="59">
        <v>6</v>
      </c>
      <c r="B10" s="59"/>
      <c r="C10" s="59"/>
      <c r="D10" s="59" t="s">
        <v>99</v>
      </c>
      <c r="E10" s="76">
        <f>E11+E13+E15+E18+E21</f>
        <v>703057.0988990642</v>
      </c>
      <c r="F10" s="76">
        <f>F11+F15+F21</f>
        <v>688006.2387072798</v>
      </c>
      <c r="G10" s="76">
        <f>G11+G15+G18+G21</f>
        <v>689905.11</v>
      </c>
      <c r="H10" s="76">
        <f>H11+H13+H15+H18+H21</f>
        <v>688843.33</v>
      </c>
      <c r="I10" s="76">
        <f>I11+I15+I21</f>
        <v>688843.33</v>
      </c>
    </row>
    <row r="11" spans="1:9" ht="39.75" customHeight="1">
      <c r="A11" s="59"/>
      <c r="B11" s="62">
        <v>63</v>
      </c>
      <c r="C11" s="62"/>
      <c r="D11" s="62" t="s">
        <v>100</v>
      </c>
      <c r="E11" s="75">
        <f>E12</f>
        <v>588389.3795208706</v>
      </c>
      <c r="F11" s="75">
        <f>F12</f>
        <v>603289.2693609396</v>
      </c>
      <c r="G11" s="75">
        <f>G12</f>
        <v>609051.69</v>
      </c>
      <c r="H11" s="75">
        <f>H12</f>
        <v>609051.69</v>
      </c>
      <c r="I11" s="75">
        <f>I12</f>
        <v>609051.69</v>
      </c>
    </row>
    <row r="12" spans="1:9" ht="12.75">
      <c r="A12" s="63"/>
      <c r="B12" s="63"/>
      <c r="C12" s="64" t="s">
        <v>120</v>
      </c>
      <c r="D12" s="64" t="s">
        <v>121</v>
      </c>
      <c r="E12" s="75">
        <f>4433219.78/7.5345</f>
        <v>588389.3795208706</v>
      </c>
      <c r="F12" s="75">
        <f>4545483/7.5345</f>
        <v>603289.2693609396</v>
      </c>
      <c r="G12" s="75">
        <v>609051.69</v>
      </c>
      <c r="H12" s="75">
        <f>G12</f>
        <v>609051.69</v>
      </c>
      <c r="I12" s="75">
        <f>H12</f>
        <v>609051.69</v>
      </c>
    </row>
    <row r="13" spans="1:9" ht="12.75">
      <c r="A13" s="63"/>
      <c r="B13" s="63">
        <v>64</v>
      </c>
      <c r="C13" s="64"/>
      <c r="D13" s="63" t="s">
        <v>116</v>
      </c>
      <c r="E13" s="75">
        <f>E14</f>
        <v>0.17652133519145266</v>
      </c>
      <c r="F13" s="75">
        <v>0</v>
      </c>
      <c r="G13" s="75">
        <f>G14</f>
        <v>0</v>
      </c>
      <c r="H13" s="75">
        <v>0</v>
      </c>
      <c r="I13" s="75">
        <v>0</v>
      </c>
    </row>
    <row r="14" spans="1:9" ht="12.75">
      <c r="A14" s="63"/>
      <c r="B14" s="63"/>
      <c r="C14" s="64" t="s">
        <v>122</v>
      </c>
      <c r="D14" s="64" t="s">
        <v>115</v>
      </c>
      <c r="E14" s="75">
        <f>1.33/7.5345</f>
        <v>0.17652133519145266</v>
      </c>
      <c r="F14" s="75">
        <v>0</v>
      </c>
      <c r="G14" s="75">
        <v>0</v>
      </c>
      <c r="H14" s="75">
        <v>0</v>
      </c>
      <c r="I14" s="75">
        <v>0</v>
      </c>
    </row>
    <row r="15" spans="1:9" ht="51">
      <c r="A15" s="63"/>
      <c r="B15" s="63">
        <v>65</v>
      </c>
      <c r="C15" s="64"/>
      <c r="D15" s="66" t="s">
        <v>117</v>
      </c>
      <c r="E15" s="75">
        <f>E16+E17</f>
        <v>21032.660428694668</v>
      </c>
      <c r="F15" s="75">
        <f>F16+F17</f>
        <v>21235.649346340168</v>
      </c>
      <c r="G15" s="75">
        <f>G16+G17</f>
        <v>21965.63</v>
      </c>
      <c r="H15" s="75">
        <f>H16+H17</f>
        <v>21965.63</v>
      </c>
      <c r="I15" s="75">
        <f>I16+I17</f>
        <v>21965.63</v>
      </c>
    </row>
    <row r="16" spans="1:9" ht="12.75">
      <c r="A16" s="63"/>
      <c r="B16" s="63"/>
      <c r="C16" s="64" t="s">
        <v>123</v>
      </c>
      <c r="D16" s="64" t="s">
        <v>124</v>
      </c>
      <c r="E16" s="75">
        <f>158470.58/7.5345</f>
        <v>21032.660428694668</v>
      </c>
      <c r="F16" s="75">
        <f>160000/7.5345</f>
        <v>21235.649346340168</v>
      </c>
      <c r="G16" s="75">
        <v>21965.63</v>
      </c>
      <c r="H16" s="75">
        <f>G16</f>
        <v>21965.63</v>
      </c>
      <c r="I16" s="75">
        <f>H16</f>
        <v>21965.63</v>
      </c>
    </row>
    <row r="17" spans="1:9" ht="12.75">
      <c r="A17" s="63"/>
      <c r="B17" s="63"/>
      <c r="C17" s="64" t="s">
        <v>120</v>
      </c>
      <c r="D17" s="64" t="s">
        <v>121</v>
      </c>
      <c r="E17" s="75">
        <v>0</v>
      </c>
      <c r="F17" s="75">
        <v>0</v>
      </c>
      <c r="G17" s="75">
        <v>0</v>
      </c>
      <c r="H17" s="75">
        <v>0</v>
      </c>
      <c r="I17" s="75">
        <f>'POSEBNI DIO'!G288</f>
        <v>0</v>
      </c>
    </row>
    <row r="18" spans="1:9" ht="42.75" customHeight="1">
      <c r="A18" s="63"/>
      <c r="B18" s="63">
        <v>66</v>
      </c>
      <c r="C18" s="64"/>
      <c r="D18" s="74" t="s">
        <v>118</v>
      </c>
      <c r="E18" s="75">
        <f>E19+E20</f>
        <v>220.1871391598646</v>
      </c>
      <c r="F18" s="75">
        <f>F19+F20</f>
        <v>0</v>
      </c>
      <c r="G18" s="75">
        <f>G19+G20</f>
        <v>0</v>
      </c>
      <c r="H18" s="75">
        <f>H19+H20</f>
        <v>0</v>
      </c>
      <c r="I18" s="75">
        <f>I19+I20</f>
        <v>0</v>
      </c>
    </row>
    <row r="19" spans="1:9" ht="12.75">
      <c r="A19" s="63"/>
      <c r="B19" s="63"/>
      <c r="C19" s="64" t="s">
        <v>122</v>
      </c>
      <c r="D19" s="64" t="s">
        <v>115</v>
      </c>
      <c r="E19" s="75">
        <v>0</v>
      </c>
      <c r="F19" s="75">
        <v>0</v>
      </c>
      <c r="G19" s="75">
        <v>0</v>
      </c>
      <c r="H19" s="75">
        <v>0</v>
      </c>
      <c r="I19" s="75">
        <f>I49+I63+I70</f>
        <v>0</v>
      </c>
    </row>
    <row r="20" spans="1:9" ht="12.75">
      <c r="A20" s="63"/>
      <c r="B20" s="65"/>
      <c r="C20" s="64" t="s">
        <v>125</v>
      </c>
      <c r="D20" s="64" t="s">
        <v>126</v>
      </c>
      <c r="E20" s="75">
        <f>1659/7.5345</f>
        <v>220.1871391598646</v>
      </c>
      <c r="F20" s="75">
        <v>0</v>
      </c>
      <c r="G20" s="75">
        <v>0</v>
      </c>
      <c r="H20" s="75">
        <v>0</v>
      </c>
      <c r="I20" s="75">
        <v>0</v>
      </c>
    </row>
    <row r="21" spans="1:9" ht="42.75" customHeight="1">
      <c r="A21" s="63"/>
      <c r="B21" s="63">
        <v>67</v>
      </c>
      <c r="C21" s="64"/>
      <c r="D21" s="62" t="s">
        <v>101</v>
      </c>
      <c r="E21" s="75">
        <f>SUM(E22:E25)</f>
        <v>93414.69528900392</v>
      </c>
      <c r="F21" s="75">
        <f>F22+F23+F24</f>
        <v>63481.31999999999</v>
      </c>
      <c r="G21" s="75">
        <f>G22+G23+G24</f>
        <v>58887.78999999999</v>
      </c>
      <c r="H21" s="75">
        <f>SUM(H22:H25)</f>
        <v>57826.009999999995</v>
      </c>
      <c r="I21" s="75">
        <f>I22+I23+I24</f>
        <v>57826.009999999995</v>
      </c>
    </row>
    <row r="22" spans="1:9" ht="16.5" customHeight="1">
      <c r="A22" s="63"/>
      <c r="B22" s="63"/>
      <c r="C22" s="64" t="s">
        <v>192</v>
      </c>
      <c r="D22" s="64" t="s">
        <v>104</v>
      </c>
      <c r="E22" s="75">
        <v>30284.3</v>
      </c>
      <c r="F22" s="75">
        <v>34995.68</v>
      </c>
      <c r="G22" s="75">
        <v>31895.02</v>
      </c>
      <c r="H22" s="75">
        <v>30833.24</v>
      </c>
      <c r="I22" s="75">
        <f>H22</f>
        <v>30833.24</v>
      </c>
    </row>
    <row r="23" spans="1:9" ht="16.5" customHeight="1">
      <c r="A23" s="63"/>
      <c r="B23" s="63"/>
      <c r="C23" s="64" t="s">
        <v>119</v>
      </c>
      <c r="D23" s="64" t="s">
        <v>193</v>
      </c>
      <c r="E23" s="75">
        <v>61481.69</v>
      </c>
      <c r="F23" s="75">
        <v>26494.8</v>
      </c>
      <c r="G23" s="75">
        <v>25463.1</v>
      </c>
      <c r="H23" s="75">
        <f>G23</f>
        <v>25463.1</v>
      </c>
      <c r="I23" s="75">
        <f>H23</f>
        <v>25463.1</v>
      </c>
    </row>
    <row r="24" spans="1:9" ht="16.5" customHeight="1">
      <c r="A24" s="63"/>
      <c r="B24" s="63"/>
      <c r="C24" s="64" t="s">
        <v>191</v>
      </c>
      <c r="D24" s="145" t="s">
        <v>195</v>
      </c>
      <c r="E24" s="75">
        <f>12422.17/7.5345</f>
        <v>1648.7052890039151</v>
      </c>
      <c r="F24" s="75">
        <v>1990.84</v>
      </c>
      <c r="G24" s="75">
        <f>G65</f>
        <v>1529.67</v>
      </c>
      <c r="H24" s="75">
        <f>H65</f>
        <v>1529.67</v>
      </c>
      <c r="I24" s="75">
        <f>I65</f>
        <v>1529.67</v>
      </c>
    </row>
    <row r="25" spans="1:9" ht="16.5" customHeight="1">
      <c r="A25" s="63"/>
      <c r="B25" s="63"/>
      <c r="C25" s="64" t="s">
        <v>197</v>
      </c>
      <c r="D25" s="64" t="s">
        <v>196</v>
      </c>
      <c r="E25" s="75">
        <v>0</v>
      </c>
      <c r="F25" s="75">
        <v>0</v>
      </c>
      <c r="G25" s="75">
        <v>0</v>
      </c>
      <c r="H25" s="75">
        <f>G25</f>
        <v>0</v>
      </c>
      <c r="I25" s="75">
        <f>H25</f>
        <v>0</v>
      </c>
    </row>
    <row r="26" spans="1:9" ht="29.25" customHeight="1">
      <c r="A26" s="67">
        <v>7</v>
      </c>
      <c r="B26" s="68"/>
      <c r="C26" s="68"/>
      <c r="D26" s="69" t="s">
        <v>102</v>
      </c>
      <c r="E26" s="76">
        <f>E27</f>
        <v>660.026544561683</v>
      </c>
      <c r="F26" s="76">
        <f aca="true" t="shared" si="0" ref="F26:I27">F27</f>
        <v>729.9754462804433</v>
      </c>
      <c r="G26" s="76">
        <f t="shared" si="0"/>
        <v>530.89</v>
      </c>
      <c r="H26" s="76">
        <f t="shared" si="0"/>
        <v>530.89</v>
      </c>
      <c r="I26" s="76">
        <f t="shared" si="0"/>
        <v>530.89</v>
      </c>
    </row>
    <row r="27" spans="1:9" ht="32.25" customHeight="1">
      <c r="A27" s="62"/>
      <c r="B27" s="62">
        <v>72</v>
      </c>
      <c r="C27" s="62"/>
      <c r="D27" s="70" t="s">
        <v>103</v>
      </c>
      <c r="E27" s="75">
        <f>E28</f>
        <v>660.026544561683</v>
      </c>
      <c r="F27" s="75">
        <f t="shared" si="0"/>
        <v>729.9754462804433</v>
      </c>
      <c r="G27" s="75">
        <f t="shared" si="0"/>
        <v>530.89</v>
      </c>
      <c r="H27" s="75">
        <f>G27</f>
        <v>530.89</v>
      </c>
      <c r="I27" s="75">
        <f>H27</f>
        <v>530.89</v>
      </c>
    </row>
    <row r="28" spans="1:9" ht="25.5" customHeight="1">
      <c r="A28" s="62"/>
      <c r="B28" s="62"/>
      <c r="C28" s="64" t="s">
        <v>234</v>
      </c>
      <c r="D28" s="191" t="s">
        <v>223</v>
      </c>
      <c r="E28" s="75">
        <f>4972.97/7.5345</f>
        <v>660.026544561683</v>
      </c>
      <c r="F28" s="61">
        <f>5500/7.5345</f>
        <v>729.9754462804433</v>
      </c>
      <c r="G28" s="183">
        <v>530.89</v>
      </c>
      <c r="H28" s="61">
        <v>0</v>
      </c>
      <c r="I28" s="71">
        <v>0</v>
      </c>
    </row>
    <row r="29" spans="1:9" ht="21.75" customHeight="1">
      <c r="A29" s="59">
        <v>9</v>
      </c>
      <c r="B29" s="59"/>
      <c r="C29" s="59"/>
      <c r="D29" s="59" t="s">
        <v>198</v>
      </c>
      <c r="E29" s="182">
        <f>E30</f>
        <v>16845.35669254761</v>
      </c>
      <c r="F29" s="182">
        <f>F30</f>
        <v>11209.768398699316</v>
      </c>
      <c r="G29" s="182">
        <f>G30</f>
        <v>2654.46</v>
      </c>
      <c r="H29" s="182">
        <f>H30</f>
        <v>0</v>
      </c>
      <c r="I29" s="182">
        <f>I30</f>
        <v>0</v>
      </c>
    </row>
    <row r="30" spans="1:9" ht="21.75" customHeight="1">
      <c r="A30" s="62"/>
      <c r="B30" s="62">
        <v>92</v>
      </c>
      <c r="C30" s="64"/>
      <c r="D30" s="63" t="s">
        <v>199</v>
      </c>
      <c r="E30" s="144">
        <f>E31+E32+E33+E34+E35</f>
        <v>16845.35669254761</v>
      </c>
      <c r="F30" s="144">
        <f>F33</f>
        <v>11209.768398699316</v>
      </c>
      <c r="G30" s="144">
        <f>G31+G32+G35</f>
        <v>2654.46</v>
      </c>
      <c r="H30" s="144">
        <v>0</v>
      </c>
      <c r="I30" s="144">
        <v>0</v>
      </c>
    </row>
    <row r="31" spans="1:9" ht="21.75" customHeight="1">
      <c r="A31" s="62"/>
      <c r="B31" s="62"/>
      <c r="C31" s="64" t="s">
        <v>120</v>
      </c>
      <c r="D31" s="202" t="s">
        <v>121</v>
      </c>
      <c r="E31" s="144">
        <f>8365.54/7.5345</f>
        <v>1110.2979627048908</v>
      </c>
      <c r="F31" s="61">
        <v>0</v>
      </c>
      <c r="G31" s="61">
        <v>0</v>
      </c>
      <c r="H31" s="61">
        <v>0</v>
      </c>
      <c r="I31" s="71">
        <v>0</v>
      </c>
    </row>
    <row r="32" spans="1:9" ht="27" customHeight="1">
      <c r="A32" s="62"/>
      <c r="B32" s="62"/>
      <c r="C32" s="190" t="s">
        <v>123</v>
      </c>
      <c r="D32" s="66" t="s">
        <v>200</v>
      </c>
      <c r="E32" s="144">
        <f>11035.79/7.5345</f>
        <v>1464.701041874046</v>
      </c>
      <c r="F32" s="61">
        <v>0</v>
      </c>
      <c r="G32" s="61">
        <v>2654.46</v>
      </c>
      <c r="H32" s="61">
        <v>0</v>
      </c>
      <c r="I32" s="71">
        <v>0</v>
      </c>
    </row>
    <row r="33" spans="1:9" ht="27" customHeight="1">
      <c r="A33" s="189"/>
      <c r="B33" s="189"/>
      <c r="C33" s="184">
        <v>44745</v>
      </c>
      <c r="D33" s="191" t="s">
        <v>236</v>
      </c>
      <c r="E33" s="201">
        <f>99876.54/7.5345</f>
        <v>13255.894883535733</v>
      </c>
      <c r="F33" s="188">
        <f>84460/7.5345</f>
        <v>11209.768398699316</v>
      </c>
      <c r="G33" s="188">
        <v>0</v>
      </c>
      <c r="H33" s="188">
        <v>0</v>
      </c>
      <c r="I33" s="192">
        <v>0</v>
      </c>
    </row>
    <row r="34" spans="1:9" ht="27" customHeight="1">
      <c r="A34" s="189"/>
      <c r="B34" s="189"/>
      <c r="C34" s="190" t="s">
        <v>234</v>
      </c>
      <c r="D34" s="191" t="s">
        <v>237</v>
      </c>
      <c r="E34" s="201">
        <f>5380.24/7.5345</f>
        <v>714.0805627447077</v>
      </c>
      <c r="F34" s="188">
        <v>0</v>
      </c>
      <c r="G34" s="188">
        <v>0</v>
      </c>
      <c r="H34" s="188">
        <v>0</v>
      </c>
      <c r="I34" s="192">
        <v>0</v>
      </c>
    </row>
    <row r="35" spans="1:9" ht="21.75" customHeight="1">
      <c r="A35" s="62"/>
      <c r="B35" s="62"/>
      <c r="C35" s="64"/>
      <c r="D35" s="66" t="s">
        <v>126</v>
      </c>
      <c r="E35" s="144">
        <f>2263.23/7.5345</f>
        <v>300.3822416882341</v>
      </c>
      <c r="F35" s="61">
        <v>0</v>
      </c>
      <c r="G35" s="61">
        <v>0</v>
      </c>
      <c r="H35" s="61">
        <v>0</v>
      </c>
      <c r="I35" s="71">
        <v>0</v>
      </c>
    </row>
    <row r="36" spans="1:9" ht="33.75" customHeight="1">
      <c r="A36" s="234" t="s">
        <v>10</v>
      </c>
      <c r="B36" s="232"/>
      <c r="C36" s="232"/>
      <c r="D36" s="232"/>
      <c r="E36" s="232"/>
      <c r="F36" s="232"/>
      <c r="G36" s="232"/>
      <c r="H36" s="232"/>
      <c r="I36" s="232"/>
    </row>
    <row r="37" spans="1:9" ht="18">
      <c r="A37" s="43"/>
      <c r="B37" s="43"/>
      <c r="C37" s="43"/>
      <c r="D37" s="43"/>
      <c r="E37" s="43"/>
      <c r="F37" s="43"/>
      <c r="G37" s="43"/>
      <c r="H37" s="3"/>
      <c r="I37" s="3"/>
    </row>
    <row r="38" spans="1:9" ht="25.5">
      <c r="A38" s="57" t="s">
        <v>92</v>
      </c>
      <c r="B38" s="58" t="s">
        <v>93</v>
      </c>
      <c r="C38" s="58" t="s">
        <v>94</v>
      </c>
      <c r="D38" s="58" t="s">
        <v>105</v>
      </c>
      <c r="E38" s="58" t="s">
        <v>83</v>
      </c>
      <c r="F38" s="57" t="s">
        <v>84</v>
      </c>
      <c r="G38" s="57" t="s">
        <v>96</v>
      </c>
      <c r="H38" s="57" t="s">
        <v>97</v>
      </c>
      <c r="I38" s="57" t="s">
        <v>98</v>
      </c>
    </row>
    <row r="39" spans="1:9" ht="12.75">
      <c r="A39" s="59">
        <v>3</v>
      </c>
      <c r="B39" s="59"/>
      <c r="C39" s="59"/>
      <c r="D39" s="59" t="s">
        <v>106</v>
      </c>
      <c r="E39" s="146">
        <f>E40+E47+E55+E61</f>
        <v>673001.5512296768</v>
      </c>
      <c r="F39" s="146">
        <f>F40+F47+F55+F61</f>
        <v>699216.0276063441</v>
      </c>
      <c r="G39" s="146">
        <f>G40+G47+G55+G61</f>
        <v>692559.5661682924</v>
      </c>
      <c r="H39" s="146">
        <f>H40+H47+H55+H61</f>
        <v>688843.33</v>
      </c>
      <c r="I39" s="146">
        <f>I40+I47+I55+I61</f>
        <v>688843.33</v>
      </c>
    </row>
    <row r="40" spans="1:9" ht="12.75">
      <c r="A40" s="59"/>
      <c r="B40" s="62">
        <v>31</v>
      </c>
      <c r="C40" s="62"/>
      <c r="D40" s="62" t="s">
        <v>11</v>
      </c>
      <c r="E40" s="75">
        <f>E41+E42+E44+E45+E43</f>
        <v>560855.3</v>
      </c>
      <c r="F40" s="75">
        <f>F41+F42+F44+F45+F43</f>
        <v>564172.5396509389</v>
      </c>
      <c r="G40" s="75">
        <f>G41+G42+G44+G45+G43</f>
        <v>577651.21</v>
      </c>
      <c r="H40" s="75">
        <f>H41+H42+H44+H45+H43</f>
        <v>577651.21</v>
      </c>
      <c r="I40" s="75">
        <f>I41+I42+I43+I44+I45+I46</f>
        <v>577651.21</v>
      </c>
    </row>
    <row r="41" spans="1:9" ht="12.75">
      <c r="A41" s="63"/>
      <c r="B41" s="63"/>
      <c r="C41" s="64" t="s">
        <v>192</v>
      </c>
      <c r="D41" s="64" t="s">
        <v>104</v>
      </c>
      <c r="E41" s="75">
        <v>27725.66</v>
      </c>
      <c r="F41" s="75">
        <f>231275/7.5345</f>
        <v>30695.467516092638</v>
      </c>
      <c r="G41" s="75">
        <v>27196.64</v>
      </c>
      <c r="H41" s="75">
        <f aca="true" t="shared" si="1" ref="H41:I46">G41</f>
        <v>27196.64</v>
      </c>
      <c r="I41" s="75">
        <f t="shared" si="1"/>
        <v>27196.64</v>
      </c>
    </row>
    <row r="42" spans="1:9" ht="12.75">
      <c r="A42" s="63"/>
      <c r="B42" s="63"/>
      <c r="C42" s="64" t="s">
        <v>122</v>
      </c>
      <c r="D42" s="64" t="s">
        <v>115</v>
      </c>
      <c r="E42" s="75">
        <v>0</v>
      </c>
      <c r="F42" s="75">
        <v>0</v>
      </c>
      <c r="G42" s="75">
        <v>0</v>
      </c>
      <c r="H42" s="75">
        <f t="shared" si="1"/>
        <v>0</v>
      </c>
      <c r="I42" s="75">
        <f t="shared" si="1"/>
        <v>0</v>
      </c>
    </row>
    <row r="43" spans="1:9" ht="12.75">
      <c r="A43" s="63"/>
      <c r="B43" s="63"/>
      <c r="C43" s="64" t="s">
        <v>119</v>
      </c>
      <c r="D43" s="64" t="s">
        <v>193</v>
      </c>
      <c r="E43" s="75">
        <v>0</v>
      </c>
      <c r="F43" s="75">
        <v>0</v>
      </c>
      <c r="G43" s="75">
        <v>0</v>
      </c>
      <c r="H43" s="75">
        <f t="shared" si="1"/>
        <v>0</v>
      </c>
      <c r="I43" s="75">
        <f t="shared" si="1"/>
        <v>0</v>
      </c>
    </row>
    <row r="44" spans="1:9" ht="12.75">
      <c r="A44" s="63"/>
      <c r="B44" s="63"/>
      <c r="C44" s="64" t="s">
        <v>123</v>
      </c>
      <c r="D44" s="64" t="s">
        <v>124</v>
      </c>
      <c r="E44" s="75">
        <v>0</v>
      </c>
      <c r="F44" s="75">
        <v>0</v>
      </c>
      <c r="G44" s="75">
        <v>0</v>
      </c>
      <c r="H44" s="75">
        <f t="shared" si="1"/>
        <v>0</v>
      </c>
      <c r="I44" s="75">
        <f t="shared" si="1"/>
        <v>0</v>
      </c>
    </row>
    <row r="45" spans="1:9" ht="12.75">
      <c r="A45" s="63"/>
      <c r="B45" s="63"/>
      <c r="C45" s="64" t="s">
        <v>120</v>
      </c>
      <c r="D45" s="64" t="s">
        <v>121</v>
      </c>
      <c r="E45" s="75">
        <v>533129.64</v>
      </c>
      <c r="F45" s="75">
        <f>4019483/7.5345</f>
        <v>533477.0721348464</v>
      </c>
      <c r="G45" s="75">
        <v>550454.57</v>
      </c>
      <c r="H45" s="75">
        <f t="shared" si="1"/>
        <v>550454.57</v>
      </c>
      <c r="I45" s="75">
        <f t="shared" si="1"/>
        <v>550454.57</v>
      </c>
    </row>
    <row r="46" spans="1:9" ht="12.75">
      <c r="A46" s="63"/>
      <c r="B46" s="63"/>
      <c r="C46" s="64" t="s">
        <v>197</v>
      </c>
      <c r="D46" s="64" t="s">
        <v>196</v>
      </c>
      <c r="E46" s="75">
        <v>0</v>
      </c>
      <c r="F46" s="75">
        <v>0</v>
      </c>
      <c r="G46" s="75">
        <v>0</v>
      </c>
      <c r="H46" s="75">
        <f t="shared" si="1"/>
        <v>0</v>
      </c>
      <c r="I46" s="75">
        <f t="shared" si="1"/>
        <v>0</v>
      </c>
    </row>
    <row r="47" spans="1:9" ht="12.75">
      <c r="A47" s="63"/>
      <c r="B47" s="63">
        <v>32</v>
      </c>
      <c r="C47" s="64"/>
      <c r="D47" s="63" t="s">
        <v>15</v>
      </c>
      <c r="E47" s="75">
        <f>SUM(E48:E54)</f>
        <v>98627.70000000001</v>
      </c>
      <c r="F47" s="75">
        <f>SUM(F48:F54)</f>
        <v>119249.47375406465</v>
      </c>
      <c r="G47" s="75">
        <f>SUM(G48:G54)</f>
        <v>102628.13616829252</v>
      </c>
      <c r="H47" s="75">
        <f>SUM(H48:H54)</f>
        <v>98911.9</v>
      </c>
      <c r="I47" s="75">
        <f aca="true" t="shared" si="2" ref="I47:I54">H47</f>
        <v>98911.9</v>
      </c>
    </row>
    <row r="48" spans="1:9" ht="12.75">
      <c r="A48" s="63"/>
      <c r="B48" s="63"/>
      <c r="C48" s="64">
        <v>11</v>
      </c>
      <c r="D48" s="64" t="s">
        <v>104</v>
      </c>
      <c r="E48" s="75">
        <v>8060.93</v>
      </c>
      <c r="F48" s="75">
        <f>32400/7.5345</f>
        <v>4300.218992633884</v>
      </c>
      <c r="G48" s="75">
        <v>4698.38</v>
      </c>
      <c r="H48" s="75">
        <v>3636.6</v>
      </c>
      <c r="I48" s="75">
        <f t="shared" si="2"/>
        <v>3636.6</v>
      </c>
    </row>
    <row r="49" spans="1:9" ht="12.75">
      <c r="A49" s="63"/>
      <c r="B49" s="63"/>
      <c r="C49" s="64" t="s">
        <v>122</v>
      </c>
      <c r="D49" s="190" t="s">
        <v>241</v>
      </c>
      <c r="E49" s="75">
        <v>3474.91</v>
      </c>
      <c r="F49" s="75">
        <f>84460/7.5345</f>
        <v>11209.768398699316</v>
      </c>
      <c r="G49" s="75">
        <f>'POSEBNI DIO'!E179</f>
        <v>2654.456168292521</v>
      </c>
      <c r="H49" s="75">
        <v>0</v>
      </c>
      <c r="I49" s="75">
        <v>0</v>
      </c>
    </row>
    <row r="50" spans="1:9" ht="12.75">
      <c r="A50" s="63"/>
      <c r="B50" s="63"/>
      <c r="C50" s="64" t="s">
        <v>119</v>
      </c>
      <c r="D50" s="64" t="s">
        <v>193</v>
      </c>
      <c r="E50" s="75">
        <v>25650.96</v>
      </c>
      <c r="F50" s="75">
        <f>195625.16/7.5345</f>
        <v>25963.920631760568</v>
      </c>
      <c r="G50" s="75">
        <v>24666.76</v>
      </c>
      <c r="H50" s="75">
        <f>G50</f>
        <v>24666.76</v>
      </c>
      <c r="I50" s="75">
        <f t="shared" si="2"/>
        <v>24666.76</v>
      </c>
    </row>
    <row r="51" spans="1:9" ht="12.75">
      <c r="A51" s="63"/>
      <c r="B51" s="63"/>
      <c r="C51" s="64" t="s">
        <v>123</v>
      </c>
      <c r="D51" s="64" t="s">
        <v>124</v>
      </c>
      <c r="E51" s="75">
        <v>20067.19</v>
      </c>
      <c r="F51" s="75">
        <f>160000/7.5345</f>
        <v>21235.649346340168</v>
      </c>
      <c r="G51" s="75">
        <v>21965.63</v>
      </c>
      <c r="H51" s="75">
        <f>G51</f>
        <v>21965.63</v>
      </c>
      <c r="I51" s="75">
        <f t="shared" si="2"/>
        <v>21965.63</v>
      </c>
    </row>
    <row r="52" spans="1:9" ht="12.75">
      <c r="A52" s="63"/>
      <c r="B52" s="63"/>
      <c r="C52" s="64" t="s">
        <v>120</v>
      </c>
      <c r="D52" s="64" t="s">
        <v>121</v>
      </c>
      <c r="E52" s="75">
        <v>41373.71</v>
      </c>
      <c r="F52" s="75">
        <f>426000/7.5345</f>
        <v>56539.9163846307</v>
      </c>
      <c r="G52" s="75">
        <v>48642.91</v>
      </c>
      <c r="H52" s="75">
        <f>G52</f>
        <v>48642.91</v>
      </c>
      <c r="I52" s="75">
        <f t="shared" si="2"/>
        <v>48642.91</v>
      </c>
    </row>
    <row r="53" spans="1:9" ht="12.75">
      <c r="A53" s="63"/>
      <c r="B53" s="63"/>
      <c r="C53" s="64" t="s">
        <v>197</v>
      </c>
      <c r="D53" s="64" t="s">
        <v>196</v>
      </c>
      <c r="E53" s="75">
        <v>0</v>
      </c>
      <c r="F53" s="75">
        <v>0</v>
      </c>
      <c r="G53" s="75">
        <v>0</v>
      </c>
      <c r="H53" s="75">
        <f>G53</f>
        <v>0</v>
      </c>
      <c r="I53" s="75">
        <f t="shared" si="2"/>
        <v>0</v>
      </c>
    </row>
    <row r="54" spans="1:9" ht="12.75">
      <c r="A54" s="63"/>
      <c r="B54" s="63"/>
      <c r="C54" s="64" t="s">
        <v>125</v>
      </c>
      <c r="D54" s="64" t="s">
        <v>126</v>
      </c>
      <c r="E54" s="75">
        <v>0</v>
      </c>
      <c r="F54" s="75">
        <v>0</v>
      </c>
      <c r="G54" s="75">
        <v>0</v>
      </c>
      <c r="H54" s="75">
        <f>G54</f>
        <v>0</v>
      </c>
      <c r="I54" s="75">
        <f t="shared" si="2"/>
        <v>0</v>
      </c>
    </row>
    <row r="55" spans="1:9" ht="12.75">
      <c r="A55" s="63"/>
      <c r="B55" s="63">
        <v>34</v>
      </c>
      <c r="C55" s="64"/>
      <c r="D55" s="63" t="s">
        <v>127</v>
      </c>
      <c r="E55" s="75">
        <f>E56+E57+E59+E60+E58</f>
        <v>1990.6090968212889</v>
      </c>
      <c r="F55" s="75">
        <f>F56+F57+F59+F60+F58</f>
        <v>530.8912336585042</v>
      </c>
      <c r="G55" s="75">
        <f>G56+G57+G59+G60+G58</f>
        <v>796.34</v>
      </c>
      <c r="H55" s="75">
        <f>H56+H57+H58+H59+H60</f>
        <v>796.34</v>
      </c>
      <c r="I55" s="75">
        <f>I56+I57+I59+I60+I58</f>
        <v>796.34</v>
      </c>
    </row>
    <row r="56" spans="1:9" ht="12.75">
      <c r="A56" s="63"/>
      <c r="B56" s="63"/>
      <c r="C56" s="64">
        <v>11</v>
      </c>
      <c r="D56" s="64" t="s">
        <v>104</v>
      </c>
      <c r="E56" s="75">
        <v>0</v>
      </c>
      <c r="F56" s="75">
        <v>0</v>
      </c>
      <c r="G56" s="75">
        <v>0</v>
      </c>
      <c r="H56" s="75">
        <f aca="true" t="shared" si="3" ref="H56:I60">G56</f>
        <v>0</v>
      </c>
      <c r="I56" s="75">
        <f t="shared" si="3"/>
        <v>0</v>
      </c>
    </row>
    <row r="57" spans="1:9" ht="12.75">
      <c r="A57" s="63"/>
      <c r="B57" s="63"/>
      <c r="C57" s="64" t="s">
        <v>122</v>
      </c>
      <c r="D57" s="64" t="s">
        <v>115</v>
      </c>
      <c r="E57" s="75">
        <v>0</v>
      </c>
      <c r="F57" s="75">
        <v>0</v>
      </c>
      <c r="G57" s="75">
        <v>0</v>
      </c>
      <c r="H57" s="75">
        <f t="shared" si="3"/>
        <v>0</v>
      </c>
      <c r="I57" s="75">
        <f t="shared" si="3"/>
        <v>0</v>
      </c>
    </row>
    <row r="58" spans="1:9" ht="12.75">
      <c r="A58" s="63"/>
      <c r="B58" s="63"/>
      <c r="C58" s="64" t="s">
        <v>119</v>
      </c>
      <c r="D58" s="64" t="s">
        <v>193</v>
      </c>
      <c r="E58" s="75">
        <f>'POSEBNI DIO'!C57</f>
        <v>664.6890968212888</v>
      </c>
      <c r="F58" s="75">
        <f>4000/7.5345</f>
        <v>530.8912336585042</v>
      </c>
      <c r="G58" s="75">
        <f>'POSEBNI DIO'!E57</f>
        <v>796.34</v>
      </c>
      <c r="H58" s="75">
        <f t="shared" si="3"/>
        <v>796.34</v>
      </c>
      <c r="I58" s="75">
        <f t="shared" si="3"/>
        <v>796.34</v>
      </c>
    </row>
    <row r="59" spans="1:9" ht="12.75">
      <c r="A59" s="63"/>
      <c r="B59" s="63"/>
      <c r="C59" s="64" t="s">
        <v>123</v>
      </c>
      <c r="D59" s="64" t="s">
        <v>124</v>
      </c>
      <c r="E59" s="75">
        <v>0</v>
      </c>
      <c r="F59" s="75">
        <v>0</v>
      </c>
      <c r="G59" s="75">
        <v>0</v>
      </c>
      <c r="H59" s="75">
        <f t="shared" si="3"/>
        <v>0</v>
      </c>
      <c r="I59" s="75">
        <f t="shared" si="3"/>
        <v>0</v>
      </c>
    </row>
    <row r="60" spans="1:14" ht="12.75">
      <c r="A60" s="63"/>
      <c r="B60" s="63"/>
      <c r="C60" s="64" t="s">
        <v>120</v>
      </c>
      <c r="D60" s="64" t="s">
        <v>121</v>
      </c>
      <c r="E60" s="75">
        <v>1325.92</v>
      </c>
      <c r="F60" s="75">
        <v>0</v>
      </c>
      <c r="G60" s="75">
        <v>0</v>
      </c>
      <c r="H60" s="75">
        <f t="shared" si="3"/>
        <v>0</v>
      </c>
      <c r="I60" s="75">
        <f t="shared" si="3"/>
        <v>0</v>
      </c>
      <c r="M60" s="147"/>
      <c r="N60" s="147"/>
    </row>
    <row r="61" spans="1:9" ht="38.25">
      <c r="A61" s="63"/>
      <c r="B61" s="63">
        <v>37</v>
      </c>
      <c r="C61" s="64"/>
      <c r="D61" s="66" t="s">
        <v>128</v>
      </c>
      <c r="E61" s="75">
        <f>SUM(E62:E66)</f>
        <v>11527.94213285553</v>
      </c>
      <c r="F61" s="75">
        <f>SUM(F62:F66)</f>
        <v>15263.122967681997</v>
      </c>
      <c r="G61" s="75">
        <f>SUM(G62:G66)</f>
        <v>11483.88</v>
      </c>
      <c r="H61" s="75">
        <f>SUM(H62:H66)</f>
        <v>11483.88</v>
      </c>
      <c r="I61" s="75">
        <f>SUM(I62:I66)</f>
        <v>11483.88</v>
      </c>
    </row>
    <row r="62" spans="1:9" ht="12.75">
      <c r="A62" s="63"/>
      <c r="B62" s="63"/>
      <c r="C62" s="64">
        <v>11</v>
      </c>
      <c r="D62" s="64" t="s">
        <v>104</v>
      </c>
      <c r="E62" s="75">
        <v>0</v>
      </c>
      <c r="F62" s="75">
        <v>0</v>
      </c>
      <c r="G62" s="75">
        <v>0</v>
      </c>
      <c r="H62" s="75">
        <f aca="true" t="shared" si="4" ref="H62:I66">G62</f>
        <v>0</v>
      </c>
      <c r="I62" s="75">
        <f t="shared" si="4"/>
        <v>0</v>
      </c>
    </row>
    <row r="63" spans="1:9" ht="12.75">
      <c r="A63" s="63"/>
      <c r="B63" s="63"/>
      <c r="C63" s="64" t="s">
        <v>122</v>
      </c>
      <c r="D63" s="64" t="s">
        <v>115</v>
      </c>
      <c r="E63" s="75">
        <v>0</v>
      </c>
      <c r="F63" s="75">
        <v>0</v>
      </c>
      <c r="G63" s="75">
        <v>0</v>
      </c>
      <c r="H63" s="75">
        <f t="shared" si="4"/>
        <v>0</v>
      </c>
      <c r="I63" s="75">
        <f t="shared" si="4"/>
        <v>0</v>
      </c>
    </row>
    <row r="64" spans="1:9" ht="12.75">
      <c r="A64" s="63"/>
      <c r="B64" s="63"/>
      <c r="C64" s="64" t="s">
        <v>123</v>
      </c>
      <c r="D64" s="64" t="s">
        <v>124</v>
      </c>
      <c r="E64" s="75">
        <v>0</v>
      </c>
      <c r="F64" s="75">
        <v>0</v>
      </c>
      <c r="G64" s="75">
        <v>0</v>
      </c>
      <c r="H64" s="75">
        <f t="shared" si="4"/>
        <v>0</v>
      </c>
      <c r="I64" s="75">
        <f t="shared" si="4"/>
        <v>0</v>
      </c>
    </row>
    <row r="65" spans="1:9" ht="12.75">
      <c r="A65" s="63"/>
      <c r="B65" s="63"/>
      <c r="C65" s="64" t="s">
        <v>191</v>
      </c>
      <c r="D65" s="145" t="s">
        <v>195</v>
      </c>
      <c r="E65" s="75">
        <f>'POSEBNI DIO'!C14</f>
        <v>1620.145995089256</v>
      </c>
      <c r="F65" s="75">
        <f>15000/7.5345</f>
        <v>1990.8421262193906</v>
      </c>
      <c r="G65" s="75">
        <f>'POSEBNI DIO'!E14</f>
        <v>1529.67</v>
      </c>
      <c r="H65" s="75">
        <f t="shared" si="4"/>
        <v>1529.67</v>
      </c>
      <c r="I65" s="75">
        <f t="shared" si="4"/>
        <v>1529.67</v>
      </c>
    </row>
    <row r="66" spans="1:9" ht="12.75">
      <c r="A66" s="63"/>
      <c r="B66" s="63"/>
      <c r="C66" s="64" t="s">
        <v>120</v>
      </c>
      <c r="D66" s="64" t="s">
        <v>121</v>
      </c>
      <c r="E66" s="75">
        <f>'POSEBNI DIO'!C320</f>
        <v>9907.796137766274</v>
      </c>
      <c r="F66" s="75">
        <f>100000/7.5345</f>
        <v>13272.280841462605</v>
      </c>
      <c r="G66" s="75">
        <f>'POSEBNI DIO'!E320</f>
        <v>9954.21</v>
      </c>
      <c r="H66" s="75">
        <f t="shared" si="4"/>
        <v>9954.21</v>
      </c>
      <c r="I66" s="75">
        <f t="shared" si="4"/>
        <v>9954.21</v>
      </c>
    </row>
    <row r="67" spans="1:9" ht="25.5">
      <c r="A67" s="67">
        <v>4</v>
      </c>
      <c r="B67" s="68"/>
      <c r="C67" s="68"/>
      <c r="D67" s="69" t="s">
        <v>23</v>
      </c>
      <c r="E67" s="146">
        <f>E68+E76</f>
        <v>34409.47</v>
      </c>
      <c r="F67" s="146">
        <f>F68+F76</f>
        <v>729.9754462804433</v>
      </c>
      <c r="G67" s="146">
        <f>G68+G76</f>
        <v>530.89</v>
      </c>
      <c r="H67" s="146">
        <f>H68+H76</f>
        <v>530.89</v>
      </c>
      <c r="I67" s="146">
        <f>I68+I76</f>
        <v>530.89</v>
      </c>
    </row>
    <row r="68" spans="1:9" ht="38.25">
      <c r="A68" s="62"/>
      <c r="B68" s="62">
        <v>42</v>
      </c>
      <c r="C68" s="62"/>
      <c r="D68" s="70" t="s">
        <v>76</v>
      </c>
      <c r="E68" s="75">
        <f>E69+E70+E71+E72+E73+E74</f>
        <v>34409.47</v>
      </c>
      <c r="F68" s="75">
        <f>F69+F70+F71+F72+F73+F74</f>
        <v>729.9754462804433</v>
      </c>
      <c r="G68" s="75">
        <f>G69+G70+G71+G72+G73+G74</f>
        <v>530.89</v>
      </c>
      <c r="H68" s="75">
        <f>H69+H70+H71+H72+H73+H74</f>
        <v>530.89</v>
      </c>
      <c r="I68" s="75">
        <f>I69+I70+I71+I72+I74</f>
        <v>530.89</v>
      </c>
    </row>
    <row r="69" spans="1:9" ht="12.75">
      <c r="A69" s="62"/>
      <c r="B69" s="62"/>
      <c r="C69" s="64">
        <v>11</v>
      </c>
      <c r="D69" s="64" t="s">
        <v>104</v>
      </c>
      <c r="E69" s="75">
        <v>29663.75</v>
      </c>
      <c r="F69" s="75">
        <v>0</v>
      </c>
      <c r="G69" s="75">
        <f>'POSEBNI DIO'!E160</f>
        <v>0</v>
      </c>
      <c r="H69" s="75">
        <f aca="true" t="shared" si="5" ref="H69:I71">G69</f>
        <v>0</v>
      </c>
      <c r="I69" s="75">
        <f t="shared" si="5"/>
        <v>0</v>
      </c>
    </row>
    <row r="70" spans="1:9" ht="12.75">
      <c r="A70" s="62"/>
      <c r="B70" s="62"/>
      <c r="C70" s="190" t="s">
        <v>238</v>
      </c>
      <c r="D70" s="190" t="s">
        <v>239</v>
      </c>
      <c r="E70" s="75">
        <v>714.08</v>
      </c>
      <c r="F70" s="75">
        <v>0</v>
      </c>
      <c r="G70" s="75">
        <v>0</v>
      </c>
      <c r="H70" s="75">
        <f t="shared" si="5"/>
        <v>0</v>
      </c>
      <c r="I70" s="75">
        <f t="shared" si="5"/>
        <v>0</v>
      </c>
    </row>
    <row r="71" spans="1:9" ht="12.75">
      <c r="A71" s="62"/>
      <c r="B71" s="62"/>
      <c r="C71" s="64" t="s">
        <v>123</v>
      </c>
      <c r="D71" s="64" t="s">
        <v>124</v>
      </c>
      <c r="E71" s="75">
        <v>0</v>
      </c>
      <c r="F71" s="75">
        <v>0</v>
      </c>
      <c r="G71" s="75">
        <v>0</v>
      </c>
      <c r="H71" s="75">
        <f t="shared" si="5"/>
        <v>0</v>
      </c>
      <c r="I71" s="75">
        <f t="shared" si="5"/>
        <v>0</v>
      </c>
    </row>
    <row r="72" spans="1:9" ht="12.75">
      <c r="A72" s="62"/>
      <c r="B72" s="62"/>
      <c r="C72" s="64" t="s">
        <v>120</v>
      </c>
      <c r="D72" s="64" t="s">
        <v>121</v>
      </c>
      <c r="E72" s="75">
        <v>3410.99</v>
      </c>
      <c r="F72" s="75">
        <v>0</v>
      </c>
      <c r="G72" s="75">
        <v>0</v>
      </c>
      <c r="H72" s="75">
        <v>0</v>
      </c>
      <c r="I72" s="75">
        <f>H72</f>
        <v>0</v>
      </c>
    </row>
    <row r="73" spans="1:9" ht="12.75">
      <c r="A73" s="62"/>
      <c r="B73" s="62"/>
      <c r="C73" s="64" t="s">
        <v>125</v>
      </c>
      <c r="D73" s="64" t="s">
        <v>126</v>
      </c>
      <c r="E73" s="75">
        <v>0</v>
      </c>
      <c r="F73" s="75">
        <v>0</v>
      </c>
      <c r="G73" s="75">
        <v>0</v>
      </c>
      <c r="H73" s="75">
        <f>G73</f>
        <v>0</v>
      </c>
      <c r="I73" s="75">
        <f>H73</f>
        <v>0</v>
      </c>
    </row>
    <row r="74" spans="1:9" ht="12.75">
      <c r="A74" s="189"/>
      <c r="B74" s="189"/>
      <c r="C74" s="190" t="s">
        <v>234</v>
      </c>
      <c r="D74" s="190" t="s">
        <v>240</v>
      </c>
      <c r="E74" s="75">
        <v>620.65</v>
      </c>
      <c r="F74" s="75">
        <f>5500/7.5345</f>
        <v>729.9754462804433</v>
      </c>
      <c r="G74" s="75">
        <v>530.89</v>
      </c>
      <c r="H74" s="75">
        <f>G74</f>
        <v>530.89</v>
      </c>
      <c r="I74" s="75">
        <f>H74</f>
        <v>530.89</v>
      </c>
    </row>
    <row r="75" spans="1:9" ht="12.75">
      <c r="A75" s="189"/>
      <c r="B75" s="189"/>
      <c r="C75" s="190"/>
      <c r="D75" s="190"/>
      <c r="E75" s="75"/>
      <c r="F75" s="75"/>
      <c r="G75" s="75"/>
      <c r="H75" s="75"/>
      <c r="I75" s="75"/>
    </row>
    <row r="76" spans="1:9" ht="25.5">
      <c r="A76" s="62"/>
      <c r="B76" s="62">
        <v>45</v>
      </c>
      <c r="C76" s="62"/>
      <c r="D76" s="70" t="s">
        <v>129</v>
      </c>
      <c r="E76" s="75">
        <f>E77</f>
        <v>0</v>
      </c>
      <c r="F76" s="75">
        <f>F77</f>
        <v>0</v>
      </c>
      <c r="G76" s="75">
        <f>G77</f>
        <v>0</v>
      </c>
      <c r="H76" s="75">
        <f>H77</f>
        <v>0</v>
      </c>
      <c r="I76" s="75">
        <f>I77</f>
        <v>0</v>
      </c>
    </row>
    <row r="77" spans="1:9" ht="12.75">
      <c r="A77" s="62"/>
      <c r="B77" s="62"/>
      <c r="C77" s="64">
        <v>11</v>
      </c>
      <c r="D77" s="64" t="s">
        <v>104</v>
      </c>
      <c r="E77" s="75">
        <v>0</v>
      </c>
      <c r="F77" s="75">
        <v>0</v>
      </c>
      <c r="G77" s="75">
        <v>0</v>
      </c>
      <c r="H77" s="75">
        <f>G77</f>
        <v>0</v>
      </c>
      <c r="I77" s="75">
        <f>H77</f>
        <v>0</v>
      </c>
    </row>
  </sheetData>
  <sheetProtection/>
  <mergeCells count="6">
    <mergeCell ref="A1:I1"/>
    <mergeCell ref="A3:I3"/>
    <mergeCell ref="A5:I5"/>
    <mergeCell ref="A7:I7"/>
    <mergeCell ref="A36:I36"/>
    <mergeCell ref="C2:I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4">
      <selection activeCell="F17" sqref="F17"/>
    </sheetView>
  </sheetViews>
  <sheetFormatPr defaultColWidth="9.140625" defaultRowHeight="12.75"/>
  <cols>
    <col min="1" max="1" width="33.421875" style="0" customWidth="1"/>
    <col min="2" max="6" width="23.00390625" style="0" customWidth="1"/>
  </cols>
  <sheetData>
    <row r="1" spans="1:6" ht="15.75">
      <c r="A1" s="230" t="s">
        <v>89</v>
      </c>
      <c r="B1" s="230"/>
      <c r="C1" s="230"/>
      <c r="D1" s="230"/>
      <c r="E1" s="230"/>
      <c r="F1" s="230"/>
    </row>
    <row r="2" spans="1:6" ht="18">
      <c r="A2" s="43"/>
      <c r="B2" s="43"/>
      <c r="C2" s="43"/>
      <c r="D2" s="43"/>
      <c r="E2" s="43"/>
      <c r="F2" s="43"/>
    </row>
    <row r="3" spans="1:6" ht="15.75">
      <c r="A3" s="230" t="s">
        <v>90</v>
      </c>
      <c r="B3" s="230"/>
      <c r="C3" s="230"/>
      <c r="D3" s="230"/>
      <c r="E3" s="231"/>
      <c r="F3" s="231"/>
    </row>
    <row r="4" spans="1:6" ht="18">
      <c r="A4" s="43"/>
      <c r="B4" s="43"/>
      <c r="C4" s="43"/>
      <c r="D4" s="43"/>
      <c r="E4" s="3"/>
      <c r="F4" s="3"/>
    </row>
    <row r="5" spans="1:6" ht="15.75">
      <c r="A5" s="230" t="s">
        <v>91</v>
      </c>
      <c r="B5" s="232"/>
      <c r="C5" s="232"/>
      <c r="D5" s="232"/>
      <c r="E5" s="232"/>
      <c r="F5" s="232"/>
    </row>
    <row r="6" spans="1:6" ht="18">
      <c r="A6" s="43"/>
      <c r="B6" s="43"/>
      <c r="C6" s="43"/>
      <c r="D6" s="43"/>
      <c r="E6" s="3"/>
      <c r="F6" s="3"/>
    </row>
    <row r="7" spans="1:6" ht="15.75">
      <c r="A7" s="230" t="s">
        <v>107</v>
      </c>
      <c r="B7" s="233"/>
      <c r="C7" s="233"/>
      <c r="D7" s="233"/>
      <c r="E7" s="233"/>
      <c r="F7" s="233"/>
    </row>
    <row r="8" spans="1:6" ht="18">
      <c r="A8" s="43"/>
      <c r="B8" s="43"/>
      <c r="C8" s="43"/>
      <c r="D8" s="43"/>
      <c r="E8" s="3"/>
      <c r="F8" s="3"/>
    </row>
    <row r="9" spans="1:6" ht="25.5">
      <c r="A9" s="57" t="s">
        <v>108</v>
      </c>
      <c r="B9" s="58" t="s">
        <v>83</v>
      </c>
      <c r="C9" s="57" t="s">
        <v>84</v>
      </c>
      <c r="D9" s="57" t="s">
        <v>96</v>
      </c>
      <c r="E9" s="57" t="s">
        <v>97</v>
      </c>
      <c r="F9" s="57" t="s">
        <v>98</v>
      </c>
    </row>
    <row r="10" spans="1:6" ht="30.75" customHeight="1">
      <c r="A10" s="59" t="s">
        <v>109</v>
      </c>
      <c r="B10" s="203">
        <f>B11</f>
        <v>707411.02</v>
      </c>
      <c r="C10" s="203">
        <f>C11</f>
        <v>699946.01</v>
      </c>
      <c r="D10" s="203">
        <f>D11</f>
        <v>693090.4600000001</v>
      </c>
      <c r="E10" s="203">
        <f>E11</f>
        <v>689374.2200000001</v>
      </c>
      <c r="F10" s="203">
        <f>F11</f>
        <v>689374.2200000001</v>
      </c>
    </row>
    <row r="11" spans="1:6" ht="30.75" customHeight="1">
      <c r="A11" s="59" t="s">
        <v>132</v>
      </c>
      <c r="B11" s="203">
        <f>B12+B14+B16</f>
        <v>707411.02</v>
      </c>
      <c r="C11" s="203">
        <f>C12+C14+C16</f>
        <v>699946.01</v>
      </c>
      <c r="D11" s="203">
        <f>D12+D14+D16</f>
        <v>693090.4600000001</v>
      </c>
      <c r="E11" s="203">
        <f>E12+E14+E16</f>
        <v>689374.2200000001</v>
      </c>
      <c r="F11" s="203">
        <f>F12+F14+F16</f>
        <v>689374.2200000001</v>
      </c>
    </row>
    <row r="12" spans="1:6" ht="30.75" customHeight="1">
      <c r="A12" s="66" t="s">
        <v>133</v>
      </c>
      <c r="B12" s="204">
        <f>B13</f>
        <v>629063.02</v>
      </c>
      <c r="C12" s="204">
        <f>C13</f>
        <v>641856.55</v>
      </c>
      <c r="D12" s="204">
        <f>D13</f>
        <v>642013.64</v>
      </c>
      <c r="E12" s="204">
        <f>E13</f>
        <v>639359.18</v>
      </c>
      <c r="F12" s="204">
        <f>E12</f>
        <v>639359.18</v>
      </c>
    </row>
    <row r="13" spans="1:6" ht="30.75" customHeight="1">
      <c r="A13" s="72" t="s">
        <v>134</v>
      </c>
      <c r="B13" s="204">
        <v>629063.02</v>
      </c>
      <c r="C13" s="204">
        <v>641856.55</v>
      </c>
      <c r="D13" s="204">
        <v>642013.64</v>
      </c>
      <c r="E13" s="204">
        <v>639359.18</v>
      </c>
      <c r="F13" s="204">
        <f>E13</f>
        <v>639359.18</v>
      </c>
    </row>
    <row r="14" spans="1:6" ht="27" customHeight="1">
      <c r="A14" s="73" t="s">
        <v>135</v>
      </c>
      <c r="B14" s="204">
        <f>B15</f>
        <v>38228.47</v>
      </c>
      <c r="C14" s="204">
        <f>C15</f>
        <v>15727.65</v>
      </c>
      <c r="D14" s="204">
        <f>D15</f>
        <v>12014.77</v>
      </c>
      <c r="E14" s="204">
        <f>E15</f>
        <v>12014.77</v>
      </c>
      <c r="F14" s="204">
        <f>F15</f>
        <v>12014.77</v>
      </c>
    </row>
    <row r="15" spans="1:6" ht="31.5" customHeight="1">
      <c r="A15" s="62" t="s">
        <v>136</v>
      </c>
      <c r="B15" s="205">
        <v>38228.47</v>
      </c>
      <c r="C15" s="205">
        <v>15727.65</v>
      </c>
      <c r="D15" s="205">
        <v>12014.77</v>
      </c>
      <c r="E15" s="205">
        <v>12014.77</v>
      </c>
      <c r="F15" s="205">
        <f>E15</f>
        <v>12014.77</v>
      </c>
    </row>
    <row r="16" spans="1:7" ht="31.5" customHeight="1">
      <c r="A16" s="189" t="s">
        <v>242</v>
      </c>
      <c r="B16" s="205">
        <f>B17</f>
        <v>40119.53</v>
      </c>
      <c r="C16" s="205">
        <f>C17</f>
        <v>42361.81</v>
      </c>
      <c r="D16" s="205">
        <v>39062.05</v>
      </c>
      <c r="E16" s="205">
        <f>E17</f>
        <v>38000.27</v>
      </c>
      <c r="F16" s="205">
        <f>F17</f>
        <v>38000.27</v>
      </c>
      <c r="G16">
        <v>0</v>
      </c>
    </row>
    <row r="17" spans="1:6" ht="31.5" customHeight="1">
      <c r="A17" s="189" t="s">
        <v>243</v>
      </c>
      <c r="B17" s="205">
        <v>40119.53</v>
      </c>
      <c r="C17" s="205">
        <v>42361.81</v>
      </c>
      <c r="D17" s="205">
        <v>39062.05</v>
      </c>
      <c r="E17" s="205">
        <v>38000.27</v>
      </c>
      <c r="F17" s="205">
        <v>38000.27</v>
      </c>
    </row>
  </sheetData>
  <sheetProtection/>
  <mergeCells count="4">
    <mergeCell ref="A1:F1"/>
    <mergeCell ref="A3:F3"/>
    <mergeCell ref="A5:F5"/>
    <mergeCell ref="A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7.140625" style="0" customWidth="1"/>
    <col min="2" max="2" width="7.421875" style="0" customWidth="1"/>
    <col min="3" max="3" width="7.57421875" style="0" customWidth="1"/>
    <col min="4" max="4" width="32.57421875" style="0" customWidth="1"/>
    <col min="5" max="9" width="22.28125" style="0" customWidth="1"/>
  </cols>
  <sheetData>
    <row r="1" spans="1:9" ht="15.75">
      <c r="A1" s="230" t="s">
        <v>89</v>
      </c>
      <c r="B1" s="230"/>
      <c r="C1" s="230"/>
      <c r="D1" s="230"/>
      <c r="E1" s="230"/>
      <c r="F1" s="230"/>
      <c r="G1" s="230"/>
      <c r="H1" s="230"/>
      <c r="I1" s="230"/>
    </row>
    <row r="2" spans="1:9" ht="18">
      <c r="A2" s="43"/>
      <c r="B2" s="43"/>
      <c r="C2" s="43"/>
      <c r="D2" s="43"/>
      <c r="E2" s="43"/>
      <c r="F2" s="43"/>
      <c r="G2" s="43"/>
      <c r="H2" s="43"/>
      <c r="I2" s="43"/>
    </row>
    <row r="3" spans="1:9" ht="15.75">
      <c r="A3" s="230" t="s">
        <v>90</v>
      </c>
      <c r="B3" s="230"/>
      <c r="C3" s="230"/>
      <c r="D3" s="230"/>
      <c r="E3" s="230"/>
      <c r="F3" s="230"/>
      <c r="G3" s="230"/>
      <c r="H3" s="231"/>
      <c r="I3" s="231"/>
    </row>
    <row r="4" spans="1:9" ht="18">
      <c r="A4" s="43"/>
      <c r="B4" s="43"/>
      <c r="C4" s="43"/>
      <c r="D4" s="43"/>
      <c r="E4" s="43"/>
      <c r="F4" s="43"/>
      <c r="G4" s="43"/>
      <c r="H4" s="3"/>
      <c r="I4" s="3"/>
    </row>
    <row r="5" spans="1:9" ht="15.75">
      <c r="A5" s="230" t="s">
        <v>110</v>
      </c>
      <c r="B5" s="232"/>
      <c r="C5" s="232"/>
      <c r="D5" s="232"/>
      <c r="E5" s="232"/>
      <c r="F5" s="232"/>
      <c r="G5" s="232"/>
      <c r="H5" s="232"/>
      <c r="I5" s="232"/>
    </row>
    <row r="6" spans="1:9" ht="18">
      <c r="A6" s="43"/>
      <c r="B6" s="43"/>
      <c r="C6" s="43"/>
      <c r="D6" s="43"/>
      <c r="E6" s="43"/>
      <c r="F6" s="43"/>
      <c r="G6" s="43"/>
      <c r="H6" s="3"/>
      <c r="I6" s="3"/>
    </row>
    <row r="7" spans="1:9" ht="25.5">
      <c r="A7" s="57" t="s">
        <v>92</v>
      </c>
      <c r="B7" s="58" t="s">
        <v>93</v>
      </c>
      <c r="C7" s="58" t="s">
        <v>94</v>
      </c>
      <c r="D7" s="58" t="s">
        <v>9</v>
      </c>
      <c r="E7" s="58" t="s">
        <v>83</v>
      </c>
      <c r="F7" s="57" t="s">
        <v>84</v>
      </c>
      <c r="G7" s="57" t="s">
        <v>96</v>
      </c>
      <c r="H7" s="57" t="s">
        <v>97</v>
      </c>
      <c r="I7" s="57" t="s">
        <v>98</v>
      </c>
    </row>
    <row r="8" spans="1:9" ht="50.25" customHeight="1">
      <c r="A8" s="59">
        <v>8</v>
      </c>
      <c r="B8" s="59"/>
      <c r="C8" s="59"/>
      <c r="D8" s="59" t="s">
        <v>111</v>
      </c>
      <c r="E8" s="60"/>
      <c r="F8" s="61"/>
      <c r="G8" s="61"/>
      <c r="H8" s="61"/>
      <c r="I8" s="61"/>
    </row>
    <row r="9" spans="1:9" ht="50.25" customHeight="1">
      <c r="A9" s="59"/>
      <c r="B9" s="62">
        <v>84</v>
      </c>
      <c r="C9" s="62"/>
      <c r="D9" s="62" t="s">
        <v>112</v>
      </c>
      <c r="E9" s="60"/>
      <c r="F9" s="61"/>
      <c r="G9" s="61"/>
      <c r="H9" s="61"/>
      <c r="I9" s="61"/>
    </row>
    <row r="10" spans="1:9" ht="50.25" customHeight="1">
      <c r="A10" s="63"/>
      <c r="B10" s="63"/>
      <c r="C10" s="64">
        <v>81</v>
      </c>
      <c r="D10" s="66" t="s">
        <v>75</v>
      </c>
      <c r="E10" s="60"/>
      <c r="F10" s="61"/>
      <c r="G10" s="61"/>
      <c r="H10" s="61"/>
      <c r="I10" s="61"/>
    </row>
    <row r="11" spans="1:9" ht="50.25" customHeight="1">
      <c r="A11" s="67">
        <v>5</v>
      </c>
      <c r="B11" s="68"/>
      <c r="C11" s="68"/>
      <c r="D11" s="69" t="s">
        <v>113</v>
      </c>
      <c r="E11" s="60"/>
      <c r="F11" s="61"/>
      <c r="G11" s="61"/>
      <c r="H11" s="61"/>
      <c r="I11" s="61"/>
    </row>
    <row r="12" spans="1:9" ht="50.25" customHeight="1">
      <c r="A12" s="62"/>
      <c r="B12" s="62">
        <v>54</v>
      </c>
      <c r="C12" s="62"/>
      <c r="D12" s="70" t="s">
        <v>114</v>
      </c>
      <c r="E12" s="60"/>
      <c r="F12" s="61"/>
      <c r="G12" s="61"/>
      <c r="H12" s="61"/>
      <c r="I12" s="71"/>
    </row>
    <row r="13" spans="1:9" ht="12.75">
      <c r="A13" s="62"/>
      <c r="B13" s="62"/>
      <c r="C13" s="64">
        <v>11</v>
      </c>
      <c r="D13" s="64" t="s">
        <v>104</v>
      </c>
      <c r="E13" s="60"/>
      <c r="F13" s="61"/>
      <c r="G13" s="61"/>
      <c r="H13" s="61"/>
      <c r="I13" s="71"/>
    </row>
    <row r="14" spans="1:9" ht="12.75">
      <c r="A14" s="62"/>
      <c r="B14" s="62"/>
      <c r="C14" s="64">
        <v>31</v>
      </c>
      <c r="D14" s="64" t="s">
        <v>115</v>
      </c>
      <c r="E14" s="60"/>
      <c r="F14" s="61"/>
      <c r="G14" s="61"/>
      <c r="H14" s="61"/>
      <c r="I14" s="71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2"/>
  <sheetViews>
    <sheetView zoomScalePageLayoutView="0" workbookViewId="0" topLeftCell="A1">
      <pane ySplit="4" topLeftCell="A167" activePane="bottomLeft" state="frozen"/>
      <selection pane="topLeft" activeCell="A1" sqref="A1"/>
      <selection pane="bottomLeft" activeCell="G335" sqref="G335"/>
    </sheetView>
  </sheetViews>
  <sheetFormatPr defaultColWidth="11.421875" defaultRowHeight="12.75"/>
  <cols>
    <col min="1" max="1" width="23.140625" style="9" customWidth="1"/>
    <col min="2" max="2" width="33.28125" style="10" customWidth="1"/>
    <col min="3" max="7" width="17.8515625" style="10" customWidth="1"/>
    <col min="8" max="16384" width="11.421875" style="1" customWidth="1"/>
  </cols>
  <sheetData>
    <row r="1" spans="1:8" ht="41.25" customHeight="1">
      <c r="A1" s="237" t="s">
        <v>89</v>
      </c>
      <c r="B1" s="237"/>
      <c r="C1" s="237"/>
      <c r="D1" s="237"/>
      <c r="E1" s="237"/>
      <c r="F1" s="237"/>
      <c r="G1" s="237"/>
      <c r="H1" s="105"/>
    </row>
    <row r="2" spans="1:8" ht="24" customHeight="1">
      <c r="A2" s="230" t="s">
        <v>183</v>
      </c>
      <c r="B2" s="230"/>
      <c r="C2" s="230"/>
      <c r="D2" s="230"/>
      <c r="E2" s="230"/>
      <c r="F2" s="230"/>
      <c r="G2" s="230"/>
      <c r="H2" s="56"/>
    </row>
    <row r="3" spans="1:8" ht="14.25" customHeight="1" thickBot="1">
      <c r="A3" s="106"/>
      <c r="B3" s="106"/>
      <c r="C3" s="106"/>
      <c r="D3" s="106"/>
      <c r="E3" s="106"/>
      <c r="F3" s="106"/>
      <c r="G3" s="106"/>
      <c r="H3" s="105"/>
    </row>
    <row r="4" spans="1:7" s="2" customFormat="1" ht="42.75" customHeight="1" thickBot="1">
      <c r="A4" s="107" t="s">
        <v>8</v>
      </c>
      <c r="B4" s="108" t="s">
        <v>9</v>
      </c>
      <c r="C4" s="102" t="s">
        <v>83</v>
      </c>
      <c r="D4" s="103" t="s">
        <v>84</v>
      </c>
      <c r="E4" s="103" t="s">
        <v>96</v>
      </c>
      <c r="F4" s="103" t="s">
        <v>97</v>
      </c>
      <c r="G4" s="104" t="s">
        <v>98</v>
      </c>
    </row>
    <row r="5" spans="1:7" s="2" customFormat="1" ht="26.25" customHeight="1">
      <c r="A5" s="37"/>
      <c r="B5" s="38" t="s">
        <v>201</v>
      </c>
      <c r="C5" s="109"/>
      <c r="D5" s="109"/>
      <c r="E5" s="109"/>
      <c r="F5" s="109"/>
      <c r="G5" s="109"/>
    </row>
    <row r="6" spans="1:7" ht="12.75">
      <c r="A6" s="14"/>
      <c r="B6" s="15" t="s">
        <v>202</v>
      </c>
      <c r="C6" s="110"/>
      <c r="D6" s="110"/>
      <c r="E6" s="110"/>
      <c r="F6" s="110"/>
      <c r="G6" s="110"/>
    </row>
    <row r="7" spans="1:7" ht="27" customHeight="1">
      <c r="A7" s="81" t="s">
        <v>145</v>
      </c>
      <c r="B7" s="81" t="s">
        <v>146</v>
      </c>
      <c r="C7" s="121">
        <f aca="true" t="shared" si="0" ref="C7:C15">C8</f>
        <v>1620.145995089256</v>
      </c>
      <c r="D7" s="121">
        <f aca="true" t="shared" si="1" ref="D7:G9">D8</f>
        <v>1990.8421262193906</v>
      </c>
      <c r="E7" s="121">
        <f t="shared" si="1"/>
        <v>1529.67</v>
      </c>
      <c r="F7" s="121">
        <f t="shared" si="1"/>
        <v>1529.67</v>
      </c>
      <c r="G7" s="121">
        <f t="shared" si="1"/>
        <v>1529.67</v>
      </c>
    </row>
    <row r="8" spans="1:7" ht="15.75" customHeight="1">
      <c r="A8" s="84" t="s">
        <v>144</v>
      </c>
      <c r="B8" s="81" t="s">
        <v>143</v>
      </c>
      <c r="C8" s="133">
        <f t="shared" si="0"/>
        <v>1620.145995089256</v>
      </c>
      <c r="D8" s="133">
        <f t="shared" si="1"/>
        <v>1990.8421262193906</v>
      </c>
      <c r="E8" s="133">
        <f t="shared" si="1"/>
        <v>1529.67</v>
      </c>
      <c r="F8" s="133">
        <f t="shared" si="1"/>
        <v>1529.67</v>
      </c>
      <c r="G8" s="133">
        <f t="shared" si="1"/>
        <v>1529.67</v>
      </c>
    </row>
    <row r="9" spans="1:7" ht="17.25" customHeight="1">
      <c r="A9" s="84" t="s">
        <v>141</v>
      </c>
      <c r="B9" s="81" t="s">
        <v>142</v>
      </c>
      <c r="C9" s="133">
        <f t="shared" si="0"/>
        <v>1620.145995089256</v>
      </c>
      <c r="D9" s="133">
        <f t="shared" si="1"/>
        <v>1990.8421262193906</v>
      </c>
      <c r="E9" s="133">
        <f t="shared" si="1"/>
        <v>1529.67</v>
      </c>
      <c r="F9" s="133">
        <f t="shared" si="1"/>
        <v>1529.67</v>
      </c>
      <c r="G9" s="133">
        <f t="shared" si="1"/>
        <v>1529.67</v>
      </c>
    </row>
    <row r="10" spans="1:7" ht="24.75" customHeight="1">
      <c r="A10" s="84" t="s">
        <v>139</v>
      </c>
      <c r="B10" s="81" t="s">
        <v>140</v>
      </c>
      <c r="C10" s="133">
        <f t="shared" si="0"/>
        <v>1620.145995089256</v>
      </c>
      <c r="D10" s="133">
        <f aca="true" t="shared" si="2" ref="D10:G15">D11</f>
        <v>1990.8421262193906</v>
      </c>
      <c r="E10" s="133">
        <f t="shared" si="2"/>
        <v>1529.67</v>
      </c>
      <c r="F10" s="133">
        <f t="shared" si="2"/>
        <v>1529.67</v>
      </c>
      <c r="G10" s="133">
        <f t="shared" si="2"/>
        <v>1529.67</v>
      </c>
    </row>
    <row r="11" spans="1:7" ht="38.25" customHeight="1">
      <c r="A11" s="85" t="s">
        <v>138</v>
      </c>
      <c r="B11" s="80" t="s">
        <v>137</v>
      </c>
      <c r="C11" s="111">
        <f t="shared" si="0"/>
        <v>1620.145995089256</v>
      </c>
      <c r="D11" s="111">
        <f t="shared" si="2"/>
        <v>1990.8421262193906</v>
      </c>
      <c r="E11" s="111">
        <f t="shared" si="2"/>
        <v>1529.67</v>
      </c>
      <c r="F11" s="111">
        <f t="shared" si="2"/>
        <v>1529.67</v>
      </c>
      <c r="G11" s="111">
        <f t="shared" si="2"/>
        <v>1529.67</v>
      </c>
    </row>
    <row r="12" spans="1:7" ht="16.5" customHeight="1">
      <c r="A12" s="135" t="s">
        <v>194</v>
      </c>
      <c r="B12" s="136" t="s">
        <v>195</v>
      </c>
      <c r="C12" s="137">
        <f t="shared" si="0"/>
        <v>1620.145995089256</v>
      </c>
      <c r="D12" s="137">
        <f t="shared" si="2"/>
        <v>1990.8421262193906</v>
      </c>
      <c r="E12" s="137">
        <f t="shared" si="2"/>
        <v>1529.67</v>
      </c>
      <c r="F12" s="137">
        <f t="shared" si="2"/>
        <v>1529.67</v>
      </c>
      <c r="G12" s="137">
        <f t="shared" si="2"/>
        <v>1529.67</v>
      </c>
    </row>
    <row r="13" spans="1:7" ht="14.25" customHeight="1">
      <c r="A13" s="79">
        <v>3</v>
      </c>
      <c r="B13" s="32" t="s">
        <v>64</v>
      </c>
      <c r="C13" s="132">
        <f t="shared" si="0"/>
        <v>1620.145995089256</v>
      </c>
      <c r="D13" s="132">
        <f t="shared" si="2"/>
        <v>1990.8421262193906</v>
      </c>
      <c r="E13" s="132">
        <f t="shared" si="2"/>
        <v>1529.67</v>
      </c>
      <c r="F13" s="132">
        <f t="shared" si="2"/>
        <v>1529.67</v>
      </c>
      <c r="G13" s="132">
        <f t="shared" si="2"/>
        <v>1529.67</v>
      </c>
    </row>
    <row r="14" spans="1:7" ht="18" customHeight="1">
      <c r="A14" s="82">
        <v>37</v>
      </c>
      <c r="B14" s="34" t="s">
        <v>74</v>
      </c>
      <c r="C14" s="112">
        <f t="shared" si="0"/>
        <v>1620.145995089256</v>
      </c>
      <c r="D14" s="112">
        <f t="shared" si="2"/>
        <v>1990.8421262193906</v>
      </c>
      <c r="E14" s="112">
        <f t="shared" si="2"/>
        <v>1529.67</v>
      </c>
      <c r="F14" s="112">
        <f>E14</f>
        <v>1529.67</v>
      </c>
      <c r="G14" s="112">
        <f>F14</f>
        <v>1529.67</v>
      </c>
    </row>
    <row r="15" spans="1:7" ht="13.5" customHeight="1">
      <c r="A15" s="16">
        <v>372</v>
      </c>
      <c r="B15" s="83" t="s">
        <v>74</v>
      </c>
      <c r="C15" s="113">
        <f t="shared" si="0"/>
        <v>1620.145995089256</v>
      </c>
      <c r="D15" s="113">
        <f t="shared" si="2"/>
        <v>1990.8421262193906</v>
      </c>
      <c r="E15" s="113">
        <f t="shared" si="2"/>
        <v>1529.67</v>
      </c>
      <c r="F15" s="113">
        <f t="shared" si="2"/>
        <v>0</v>
      </c>
      <c r="G15" s="113">
        <f t="shared" si="2"/>
        <v>0</v>
      </c>
    </row>
    <row r="16" spans="1:7" ht="12.75">
      <c r="A16" s="14">
        <v>3723</v>
      </c>
      <c r="B16" s="15" t="s">
        <v>184</v>
      </c>
      <c r="C16" s="114">
        <f>12206.99/7.5345</f>
        <v>1620.145995089256</v>
      </c>
      <c r="D16" s="114">
        <f>15000/7.5345</f>
        <v>1990.8421262193906</v>
      </c>
      <c r="E16" s="114">
        <v>1529.67</v>
      </c>
      <c r="F16" s="114"/>
      <c r="G16" s="114"/>
    </row>
    <row r="17" spans="1:7" ht="25.5">
      <c r="A17" s="160" t="s">
        <v>208</v>
      </c>
      <c r="B17" s="98" t="s">
        <v>209</v>
      </c>
      <c r="C17" s="121">
        <f aca="true" t="shared" si="3" ref="C17:C23">C18</f>
        <v>6437.261928462406</v>
      </c>
      <c r="D17" s="181">
        <v>0</v>
      </c>
      <c r="E17" s="181">
        <v>0</v>
      </c>
      <c r="F17" s="181">
        <f aca="true" t="shared" si="4" ref="F17:G21">F18</f>
        <v>0</v>
      </c>
      <c r="G17" s="181">
        <f t="shared" si="4"/>
        <v>0</v>
      </c>
    </row>
    <row r="18" spans="1:7" ht="12.75">
      <c r="A18" s="160" t="s">
        <v>210</v>
      </c>
      <c r="B18" s="98" t="s">
        <v>150</v>
      </c>
      <c r="C18" s="121">
        <f t="shared" si="3"/>
        <v>6437.261928462406</v>
      </c>
      <c r="D18" s="181">
        <v>0</v>
      </c>
      <c r="E18" s="181">
        <v>0</v>
      </c>
      <c r="F18" s="181">
        <f t="shared" si="4"/>
        <v>0</v>
      </c>
      <c r="G18" s="181">
        <f t="shared" si="4"/>
        <v>0</v>
      </c>
    </row>
    <row r="19" spans="1:7" ht="25.5">
      <c r="A19" s="160" t="s">
        <v>211</v>
      </c>
      <c r="B19" s="98" t="s">
        <v>212</v>
      </c>
      <c r="C19" s="121">
        <f t="shared" si="3"/>
        <v>6437.261928462406</v>
      </c>
      <c r="D19" s="181">
        <v>0</v>
      </c>
      <c r="E19" s="181">
        <v>0</v>
      </c>
      <c r="F19" s="181">
        <f t="shared" si="4"/>
        <v>0</v>
      </c>
      <c r="G19" s="181">
        <f t="shared" si="4"/>
        <v>0</v>
      </c>
    </row>
    <row r="20" spans="1:7" ht="25.5">
      <c r="A20" s="160" t="s">
        <v>214</v>
      </c>
      <c r="B20" s="98" t="s">
        <v>213</v>
      </c>
      <c r="C20" s="121">
        <f t="shared" si="3"/>
        <v>6437.261928462406</v>
      </c>
      <c r="D20" s="181">
        <v>0</v>
      </c>
      <c r="E20" s="181">
        <v>0</v>
      </c>
      <c r="F20" s="181">
        <f t="shared" si="4"/>
        <v>0</v>
      </c>
      <c r="G20" s="181">
        <f t="shared" si="4"/>
        <v>0</v>
      </c>
    </row>
    <row r="21" spans="1:7" ht="25.5">
      <c r="A21" s="168">
        <v>4</v>
      </c>
      <c r="B21" s="13" t="s">
        <v>215</v>
      </c>
      <c r="C21" s="169">
        <f t="shared" si="3"/>
        <v>6437.261928462406</v>
      </c>
      <c r="D21" s="169">
        <v>0</v>
      </c>
      <c r="E21" s="169">
        <v>0</v>
      </c>
      <c r="F21" s="169">
        <f t="shared" si="4"/>
        <v>0</v>
      </c>
      <c r="G21" s="169">
        <f t="shared" si="4"/>
        <v>0</v>
      </c>
    </row>
    <row r="22" spans="1:7" ht="25.5">
      <c r="A22" s="165">
        <v>42</v>
      </c>
      <c r="B22" s="166" t="s">
        <v>76</v>
      </c>
      <c r="C22" s="167">
        <f t="shared" si="3"/>
        <v>6437.261928462406</v>
      </c>
      <c r="D22" s="167">
        <v>0</v>
      </c>
      <c r="E22" s="167">
        <v>0</v>
      </c>
      <c r="F22" s="167">
        <f>E22</f>
        <v>0</v>
      </c>
      <c r="G22" s="167">
        <f>F22</f>
        <v>0</v>
      </c>
    </row>
    <row r="23" spans="1:7" ht="12.75">
      <c r="A23" s="161">
        <v>421</v>
      </c>
      <c r="B23" s="83" t="s">
        <v>216</v>
      </c>
      <c r="C23" s="162">
        <f t="shared" si="3"/>
        <v>6437.261928462406</v>
      </c>
      <c r="D23" s="162">
        <v>0</v>
      </c>
      <c r="E23" s="162">
        <v>0</v>
      </c>
      <c r="F23" s="162">
        <v>0</v>
      </c>
      <c r="G23" s="162">
        <f>F23</f>
        <v>0</v>
      </c>
    </row>
    <row r="24" spans="1:7" ht="12.75">
      <c r="A24" s="163">
        <v>4212</v>
      </c>
      <c r="B24" s="164" t="s">
        <v>217</v>
      </c>
      <c r="C24" s="162">
        <f>48501.55/7.5345</f>
        <v>6437.261928462406</v>
      </c>
      <c r="D24" s="162">
        <v>0</v>
      </c>
      <c r="E24" s="162">
        <v>0</v>
      </c>
      <c r="F24" s="162">
        <v>0</v>
      </c>
      <c r="G24" s="162">
        <v>0</v>
      </c>
    </row>
    <row r="25" spans="1:7" ht="39.75" customHeight="1">
      <c r="A25" s="84" t="s">
        <v>147</v>
      </c>
      <c r="B25" s="87" t="s">
        <v>148</v>
      </c>
      <c r="C25" s="121">
        <f>C26+C74</f>
        <v>85328.73448802176</v>
      </c>
      <c r="D25" s="121">
        <f>D26+D74</f>
        <v>61490.4983741456</v>
      </c>
      <c r="E25" s="121">
        <f>E26+E74</f>
        <v>57358.11744906762</v>
      </c>
      <c r="F25" s="121">
        <f>F28+F74</f>
        <v>56296.33744906762</v>
      </c>
      <c r="G25" s="121">
        <f>G28+G76</f>
        <v>56296.33744906762</v>
      </c>
    </row>
    <row r="26" spans="1:7" ht="13.5" customHeight="1">
      <c r="A26" s="84" t="s">
        <v>149</v>
      </c>
      <c r="B26" s="87" t="s">
        <v>150</v>
      </c>
      <c r="C26" s="121">
        <f>C27</f>
        <v>26315.650673568252</v>
      </c>
      <c r="D26" s="121">
        <f aca="true" t="shared" si="5" ref="D26:G27">D27</f>
        <v>26494.811865419077</v>
      </c>
      <c r="E26" s="121">
        <f t="shared" si="5"/>
        <v>25463.100000000002</v>
      </c>
      <c r="F26" s="121">
        <f t="shared" si="5"/>
        <v>25463.100000000002</v>
      </c>
      <c r="G26" s="121">
        <f t="shared" si="5"/>
        <v>25463.100000000002</v>
      </c>
    </row>
    <row r="27" spans="1:7" ht="27" customHeight="1">
      <c r="A27" s="86" t="s">
        <v>151</v>
      </c>
      <c r="B27" s="88" t="s">
        <v>152</v>
      </c>
      <c r="C27" s="115">
        <f>C28</f>
        <v>26315.650673568252</v>
      </c>
      <c r="D27" s="115">
        <f t="shared" si="5"/>
        <v>26494.811865419077</v>
      </c>
      <c r="E27" s="115">
        <f t="shared" si="5"/>
        <v>25463.100000000002</v>
      </c>
      <c r="F27" s="115">
        <f t="shared" si="5"/>
        <v>25463.100000000002</v>
      </c>
      <c r="G27" s="115">
        <f t="shared" si="5"/>
        <v>25463.100000000002</v>
      </c>
    </row>
    <row r="28" spans="1:7" ht="36.75" customHeight="1">
      <c r="A28" s="84" t="s">
        <v>153</v>
      </c>
      <c r="B28" s="87" t="s">
        <v>154</v>
      </c>
      <c r="C28" s="116">
        <f>C29+C60</f>
        <v>26315.650673568252</v>
      </c>
      <c r="D28" s="116">
        <f>D29+D60</f>
        <v>26494.811865419077</v>
      </c>
      <c r="E28" s="116">
        <f>E29+E60</f>
        <v>25463.100000000002</v>
      </c>
      <c r="F28" s="116">
        <f>F29+F60</f>
        <v>25463.100000000002</v>
      </c>
      <c r="G28" s="116">
        <f>G29+G60</f>
        <v>25463.100000000002</v>
      </c>
    </row>
    <row r="29" spans="1:7" ht="12.75">
      <c r="A29" s="89" t="s">
        <v>155</v>
      </c>
      <c r="B29" s="90" t="s">
        <v>106</v>
      </c>
      <c r="C29" s="117">
        <f>C30</f>
        <v>22170.69745835822</v>
      </c>
      <c r="D29" s="117">
        <f aca="true" t="shared" si="6" ref="D29:G30">D30</f>
        <v>22183.953812462674</v>
      </c>
      <c r="E29" s="117">
        <f t="shared" si="6"/>
        <v>21469.58</v>
      </c>
      <c r="F29" s="117">
        <f t="shared" si="6"/>
        <v>21469.58</v>
      </c>
      <c r="G29" s="117">
        <f t="shared" si="6"/>
        <v>21469.58</v>
      </c>
    </row>
    <row r="30" spans="1:7" ht="16.5" customHeight="1">
      <c r="A30" s="135" t="s">
        <v>186</v>
      </c>
      <c r="B30" s="138" t="s">
        <v>193</v>
      </c>
      <c r="C30" s="139">
        <f>C31</f>
        <v>22170.69745835822</v>
      </c>
      <c r="D30" s="139">
        <f t="shared" si="6"/>
        <v>22183.953812462674</v>
      </c>
      <c r="E30" s="139">
        <f t="shared" si="6"/>
        <v>21469.58</v>
      </c>
      <c r="F30" s="139">
        <f t="shared" si="6"/>
        <v>21469.58</v>
      </c>
      <c r="G30" s="139">
        <f t="shared" si="6"/>
        <v>21469.58</v>
      </c>
    </row>
    <row r="31" spans="1:7" ht="12.75">
      <c r="A31" s="92">
        <v>3</v>
      </c>
      <c r="B31" s="11" t="s">
        <v>10</v>
      </c>
      <c r="C31" s="118">
        <f>C32+C57</f>
        <v>22170.69745835822</v>
      </c>
      <c r="D31" s="118">
        <f>D32+D57</f>
        <v>22183.953812462674</v>
      </c>
      <c r="E31" s="118">
        <f>E32+E57</f>
        <v>21469.58</v>
      </c>
      <c r="F31" s="118">
        <f>F32+F57</f>
        <v>21469.58</v>
      </c>
      <c r="G31" s="118">
        <f>G32+G57</f>
        <v>21469.58</v>
      </c>
    </row>
    <row r="32" spans="1:7" s="2" customFormat="1" ht="12.75">
      <c r="A32" s="12">
        <v>32</v>
      </c>
      <c r="B32" s="13" t="s">
        <v>15</v>
      </c>
      <c r="C32" s="119">
        <f>C33+C37+C42+C51</f>
        <v>21506.00836153693</v>
      </c>
      <c r="D32" s="119">
        <f>D33+D37+D42+D51</f>
        <v>21653.06257880417</v>
      </c>
      <c r="E32" s="119">
        <f>E33+E37+E42+E51</f>
        <v>20673.24</v>
      </c>
      <c r="F32" s="119">
        <f>E32</f>
        <v>20673.24</v>
      </c>
      <c r="G32" s="119">
        <f>F32</f>
        <v>20673.24</v>
      </c>
    </row>
    <row r="33" spans="1:7" ht="13.5" customHeight="1">
      <c r="A33" s="14">
        <v>321</v>
      </c>
      <c r="B33" s="15" t="s">
        <v>16</v>
      </c>
      <c r="C33" s="110">
        <f>SUM(C34:C36)</f>
        <v>1060.9861304665205</v>
      </c>
      <c r="D33" s="110">
        <f>SUM(D34:D36)</f>
        <v>1924.4807220120776</v>
      </c>
      <c r="E33" s="110">
        <f>SUM(E34:E36)</f>
        <v>1659.04</v>
      </c>
      <c r="F33" s="110">
        <v>0</v>
      </c>
      <c r="G33" s="110">
        <f>F33</f>
        <v>0</v>
      </c>
    </row>
    <row r="34" spans="1:7" ht="12.75" customHeight="1">
      <c r="A34" s="16">
        <v>3211</v>
      </c>
      <c r="B34" s="17" t="s">
        <v>33</v>
      </c>
      <c r="C34" s="114">
        <f>3614/7.5345</f>
        <v>479.66022961045854</v>
      </c>
      <c r="D34" s="114">
        <f>10000/7.5345</f>
        <v>1327.2280841462605</v>
      </c>
      <c r="E34" s="114">
        <v>1327.23</v>
      </c>
      <c r="F34" s="114">
        <v>0</v>
      </c>
      <c r="G34" s="114">
        <v>0</v>
      </c>
    </row>
    <row r="35" spans="1:7" ht="12.75" customHeight="1">
      <c r="A35" s="16">
        <v>3213</v>
      </c>
      <c r="B35" s="17" t="s">
        <v>35</v>
      </c>
      <c r="C35" s="114">
        <f>4380/7.5345</f>
        <v>581.325900856062</v>
      </c>
      <c r="D35" s="114">
        <f>4000/7.5345</f>
        <v>530.8912336585042</v>
      </c>
      <c r="E35" s="114">
        <v>265.45</v>
      </c>
      <c r="F35" s="114">
        <v>0</v>
      </c>
      <c r="G35" s="114">
        <v>0</v>
      </c>
    </row>
    <row r="36" spans="1:7" ht="12.75" customHeight="1">
      <c r="A36" s="16">
        <v>3214</v>
      </c>
      <c r="B36" s="17" t="s">
        <v>36</v>
      </c>
      <c r="C36" s="114">
        <v>0</v>
      </c>
      <c r="D36" s="114">
        <f>500/7.5345</f>
        <v>66.36140420731303</v>
      </c>
      <c r="E36" s="114">
        <v>66.36</v>
      </c>
      <c r="F36" s="114">
        <v>0</v>
      </c>
      <c r="G36" s="114">
        <v>0</v>
      </c>
    </row>
    <row r="37" spans="1:7" ht="12.75">
      <c r="A37" s="14">
        <v>322</v>
      </c>
      <c r="B37" s="15" t="s">
        <v>17</v>
      </c>
      <c r="C37" s="110">
        <f>SUM(C38:C41)</f>
        <v>12278.310438648881</v>
      </c>
      <c r="D37" s="110">
        <f>SUM(D38:D41)</f>
        <v>11812.329948901719</v>
      </c>
      <c r="E37" s="110">
        <f>SUM(E38:E41)</f>
        <v>10352.369999999999</v>
      </c>
      <c r="F37" s="110">
        <v>0</v>
      </c>
      <c r="G37" s="110">
        <v>0</v>
      </c>
    </row>
    <row r="38" spans="1:7" ht="12.75" customHeight="1">
      <c r="A38" s="16">
        <v>3221</v>
      </c>
      <c r="B38" s="17" t="s">
        <v>37</v>
      </c>
      <c r="C38" s="114">
        <f>22932.75/7.5345</f>
        <v>3043.6989846705155</v>
      </c>
      <c r="D38" s="114">
        <f>11000/7.5345</f>
        <v>1459.9508925608866</v>
      </c>
      <c r="E38" s="114">
        <v>1592.67</v>
      </c>
      <c r="F38" s="114">
        <v>0</v>
      </c>
      <c r="G38" s="114">
        <v>0</v>
      </c>
    </row>
    <row r="39" spans="1:7" ht="12.75" customHeight="1">
      <c r="A39" s="16">
        <v>3223</v>
      </c>
      <c r="B39" s="17" t="s">
        <v>39</v>
      </c>
      <c r="C39" s="114">
        <f>65170.88/7.5345</f>
        <v>8649.662220452585</v>
      </c>
      <c r="D39" s="114">
        <f>74000/7.5345</f>
        <v>9821.487822682328</v>
      </c>
      <c r="E39" s="114">
        <v>8626.98</v>
      </c>
      <c r="F39" s="114">
        <v>0</v>
      </c>
      <c r="G39" s="114">
        <v>0</v>
      </c>
    </row>
    <row r="40" spans="1:7" ht="12.75" customHeight="1">
      <c r="A40" s="16">
        <v>3225</v>
      </c>
      <c r="B40" s="17" t="s">
        <v>41</v>
      </c>
      <c r="C40" s="114">
        <f>3480.72/7.5345</f>
        <v>461.97093370495713</v>
      </c>
      <c r="D40" s="114">
        <f>2000/7.5345</f>
        <v>265.4456168292521</v>
      </c>
      <c r="E40" s="114">
        <v>132.72</v>
      </c>
      <c r="F40" s="114">
        <v>0</v>
      </c>
      <c r="G40" s="114">
        <v>0</v>
      </c>
    </row>
    <row r="41" spans="1:7" ht="12.75" customHeight="1">
      <c r="A41" s="16">
        <v>3227</v>
      </c>
      <c r="B41" s="17" t="s">
        <v>42</v>
      </c>
      <c r="C41" s="114">
        <f>926.58/7.5345</f>
        <v>122.9782998208242</v>
      </c>
      <c r="D41" s="114">
        <f>2000/7.5345</f>
        <v>265.4456168292521</v>
      </c>
      <c r="E41" s="114">
        <v>0</v>
      </c>
      <c r="F41" s="114">
        <v>0</v>
      </c>
      <c r="G41" s="114">
        <v>0</v>
      </c>
    </row>
    <row r="42" spans="1:7" ht="12.75">
      <c r="A42" s="14">
        <v>323</v>
      </c>
      <c r="B42" s="15" t="s">
        <v>18</v>
      </c>
      <c r="C42" s="110">
        <f>SUM(C43:C50)</f>
        <v>7560.447275864356</v>
      </c>
      <c r="D42" s="110">
        <f>SUM(D43:D50)</f>
        <v>7040.944986395913</v>
      </c>
      <c r="E42" s="110">
        <f>SUM(E43:E50)</f>
        <v>8487.630000000001</v>
      </c>
      <c r="F42" s="110">
        <v>0</v>
      </c>
      <c r="G42" s="110">
        <f>F42</f>
        <v>0</v>
      </c>
    </row>
    <row r="43" spans="1:7" ht="12.75" customHeight="1">
      <c r="A43" s="16">
        <v>3231</v>
      </c>
      <c r="B43" s="17" t="s">
        <v>43</v>
      </c>
      <c r="C43" s="114">
        <f>10345.29/7.5345</f>
        <v>1373.0559426637467</v>
      </c>
      <c r="D43" s="114">
        <f>11000/7.5345</f>
        <v>1459.9508925608866</v>
      </c>
      <c r="E43" s="114">
        <v>1459.95</v>
      </c>
      <c r="F43" s="114">
        <v>0</v>
      </c>
      <c r="G43" s="114">
        <v>0</v>
      </c>
    </row>
    <row r="44" spans="1:7" ht="12.75" customHeight="1">
      <c r="A44" s="16">
        <v>3233</v>
      </c>
      <c r="B44" s="17" t="s">
        <v>57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</row>
    <row r="45" spans="1:7" ht="12.75" customHeight="1">
      <c r="A45" s="16">
        <v>3234</v>
      </c>
      <c r="B45" s="17" t="s">
        <v>45</v>
      </c>
      <c r="C45" s="114">
        <f>17896.64/7.5345</f>
        <v>2375.292321985533</v>
      </c>
      <c r="D45" s="114">
        <f>21000/7.5345</f>
        <v>2787.178976707147</v>
      </c>
      <c r="E45" s="114">
        <v>2787.18</v>
      </c>
      <c r="F45" s="114">
        <v>0</v>
      </c>
      <c r="G45" s="114">
        <v>0</v>
      </c>
    </row>
    <row r="46" spans="1:7" ht="12.75" customHeight="1">
      <c r="A46" s="16">
        <v>3235</v>
      </c>
      <c r="B46" s="17" t="s">
        <v>58</v>
      </c>
      <c r="C46" s="114">
        <f>5625/7.5345</f>
        <v>746.5657973322715</v>
      </c>
      <c r="D46" s="114">
        <f>5550/7.5345</f>
        <v>736.6115867011746</v>
      </c>
      <c r="E46" s="114">
        <v>1214.42</v>
      </c>
      <c r="F46" s="114">
        <v>0</v>
      </c>
      <c r="G46" s="114">
        <v>0</v>
      </c>
    </row>
    <row r="47" spans="1:7" ht="12.75" customHeight="1">
      <c r="A47" s="16">
        <v>3236</v>
      </c>
      <c r="B47" s="17" t="s">
        <v>46</v>
      </c>
      <c r="C47" s="114">
        <f>8510/7.5345</f>
        <v>1129.4710996084677</v>
      </c>
      <c r="D47" s="114">
        <f>3000/7.5345</f>
        <v>398.1684252438781</v>
      </c>
      <c r="E47" s="114">
        <v>1433.41</v>
      </c>
      <c r="F47" s="114">
        <v>0</v>
      </c>
      <c r="G47" s="114">
        <v>0</v>
      </c>
    </row>
    <row r="48" spans="1:7" ht="12.75" customHeight="1">
      <c r="A48" s="16">
        <v>3237</v>
      </c>
      <c r="B48" s="17" t="s">
        <v>47</v>
      </c>
      <c r="C48" s="114">
        <f>937.5/7.5345</f>
        <v>124.42763288871191</v>
      </c>
      <c r="D48" s="114">
        <f>1000/7.5345</f>
        <v>132.72280841462606</v>
      </c>
      <c r="E48" s="114">
        <v>132.72</v>
      </c>
      <c r="F48" s="114">
        <v>0</v>
      </c>
      <c r="G48" s="114">
        <v>0</v>
      </c>
    </row>
    <row r="49" spans="1:7" ht="12.75" customHeight="1">
      <c r="A49" s="16">
        <v>3238</v>
      </c>
      <c r="B49" s="17" t="s">
        <v>48</v>
      </c>
      <c r="C49" s="114">
        <f>12500/7.5345</f>
        <v>1659.0351051828256</v>
      </c>
      <c r="D49" s="114">
        <f>11000/7.5345</f>
        <v>1459.9508925608866</v>
      </c>
      <c r="E49" s="114">
        <v>1459.95</v>
      </c>
      <c r="F49" s="114">
        <v>0</v>
      </c>
      <c r="G49" s="114">
        <v>0</v>
      </c>
    </row>
    <row r="50" spans="1:7" ht="12.75" customHeight="1">
      <c r="A50" s="16">
        <v>3239</v>
      </c>
      <c r="B50" s="17" t="s">
        <v>49</v>
      </c>
      <c r="C50" s="114">
        <f>1149.76/7.5345</f>
        <v>152.59937620280044</v>
      </c>
      <c r="D50" s="114">
        <f>500/7.5345</f>
        <v>66.36140420731303</v>
      </c>
      <c r="E50" s="114">
        <v>0</v>
      </c>
      <c r="F50" s="114">
        <v>0</v>
      </c>
      <c r="G50" s="114">
        <v>0</v>
      </c>
    </row>
    <row r="51" spans="1:7" ht="26.25" customHeight="1">
      <c r="A51" s="14">
        <v>329</v>
      </c>
      <c r="B51" s="15" t="s">
        <v>19</v>
      </c>
      <c r="C51" s="110">
        <f>SUM(C52:C56)</f>
        <v>606.2645165571703</v>
      </c>
      <c r="D51" s="110">
        <f>SUM(D53:D56)</f>
        <v>875.3069214944588</v>
      </c>
      <c r="E51" s="110">
        <f>SUM(E53:E56)</f>
        <v>174.2</v>
      </c>
      <c r="F51" s="110">
        <v>0</v>
      </c>
      <c r="G51" s="110">
        <f>SUM(G53:G56)</f>
        <v>0</v>
      </c>
    </row>
    <row r="52" spans="1:7" ht="12" customHeight="1">
      <c r="A52" s="16">
        <v>3292</v>
      </c>
      <c r="B52" s="17" t="s">
        <v>185</v>
      </c>
      <c r="C52" s="114">
        <v>0</v>
      </c>
      <c r="D52" s="114">
        <v>0</v>
      </c>
      <c r="E52" s="114">
        <v>0</v>
      </c>
      <c r="F52" s="114">
        <v>0</v>
      </c>
      <c r="G52" s="114">
        <v>0</v>
      </c>
    </row>
    <row r="53" spans="1:7" ht="12.75" customHeight="1">
      <c r="A53" s="16">
        <v>3293</v>
      </c>
      <c r="B53" s="17" t="s">
        <v>50</v>
      </c>
      <c r="C53" s="114">
        <f>500/7.5345</f>
        <v>66.36140420731303</v>
      </c>
      <c r="D53" s="114">
        <f>500/7.5345</f>
        <v>66.36140420731303</v>
      </c>
      <c r="E53" s="114">
        <v>0</v>
      </c>
      <c r="F53" s="114">
        <v>0</v>
      </c>
      <c r="G53" s="114">
        <v>0</v>
      </c>
    </row>
    <row r="54" spans="1:7" ht="12.75" customHeight="1">
      <c r="A54" s="16">
        <v>3294</v>
      </c>
      <c r="B54" s="17" t="s">
        <v>67</v>
      </c>
      <c r="C54" s="114">
        <f>300/7.5345</f>
        <v>39.816842524387816</v>
      </c>
      <c r="D54" s="114">
        <f>300/7.5345</f>
        <v>39.816842524387816</v>
      </c>
      <c r="E54" s="114">
        <v>0</v>
      </c>
      <c r="F54" s="114">
        <v>0</v>
      </c>
      <c r="G54" s="114">
        <v>0</v>
      </c>
    </row>
    <row r="55" spans="1:7" ht="12.75" customHeight="1">
      <c r="A55" s="16">
        <v>3295</v>
      </c>
      <c r="B55" s="17" t="s">
        <v>69</v>
      </c>
      <c r="C55" s="114">
        <f>1447.5/7.5345</f>
        <v>192.1162651801712</v>
      </c>
      <c r="D55" s="114">
        <f>1000/7.5345</f>
        <v>132.72280841462606</v>
      </c>
      <c r="E55" s="114">
        <v>66.36</v>
      </c>
      <c r="F55" s="114">
        <v>0</v>
      </c>
      <c r="G55" s="114">
        <v>0</v>
      </c>
    </row>
    <row r="56" spans="1:7" ht="24" customHeight="1">
      <c r="A56" s="16">
        <v>3299</v>
      </c>
      <c r="B56" s="17" t="s">
        <v>19</v>
      </c>
      <c r="C56" s="114">
        <f>2320.4/7.5345</f>
        <v>307.9700046452983</v>
      </c>
      <c r="D56" s="114">
        <f>4795/7.5345</f>
        <v>636.4058663481319</v>
      </c>
      <c r="E56" s="114">
        <v>107.84</v>
      </c>
      <c r="F56" s="114">
        <v>0</v>
      </c>
      <c r="G56" s="114">
        <v>0</v>
      </c>
    </row>
    <row r="57" spans="1:7" s="2" customFormat="1" ht="12.75">
      <c r="A57" s="12">
        <v>34</v>
      </c>
      <c r="B57" s="13" t="s">
        <v>20</v>
      </c>
      <c r="C57" s="119">
        <f>C58</f>
        <v>664.6890968212888</v>
      </c>
      <c r="D57" s="119">
        <f aca="true" t="shared" si="7" ref="D57:G58">D58</f>
        <v>530.8912336585042</v>
      </c>
      <c r="E57" s="119">
        <f t="shared" si="7"/>
        <v>796.34</v>
      </c>
      <c r="F57" s="119">
        <f>E57</f>
        <v>796.34</v>
      </c>
      <c r="G57" s="119">
        <f>F57</f>
        <v>796.34</v>
      </c>
    </row>
    <row r="58" spans="1:7" ht="12.75" customHeight="1">
      <c r="A58" s="14">
        <v>343</v>
      </c>
      <c r="B58" s="15" t="s">
        <v>21</v>
      </c>
      <c r="C58" s="110">
        <f>C59</f>
        <v>664.6890968212888</v>
      </c>
      <c r="D58" s="110">
        <f t="shared" si="7"/>
        <v>530.8912336585042</v>
      </c>
      <c r="E58" s="110">
        <f t="shared" si="7"/>
        <v>796.34</v>
      </c>
      <c r="F58" s="110">
        <f t="shared" si="7"/>
        <v>0</v>
      </c>
      <c r="G58" s="110">
        <f t="shared" si="7"/>
        <v>0</v>
      </c>
    </row>
    <row r="59" spans="1:7" ht="26.25" customHeight="1">
      <c r="A59" s="16">
        <v>3431</v>
      </c>
      <c r="B59" s="17" t="s">
        <v>52</v>
      </c>
      <c r="C59" s="114">
        <f>5008.1/7.5345</f>
        <v>664.6890968212888</v>
      </c>
      <c r="D59" s="114">
        <f>4000/7.5345</f>
        <v>530.8912336585042</v>
      </c>
      <c r="E59" s="114">
        <v>796.34</v>
      </c>
      <c r="F59" s="114">
        <v>0</v>
      </c>
      <c r="G59" s="114">
        <v>0</v>
      </c>
    </row>
    <row r="60" spans="1:7" s="2" customFormat="1" ht="26.25" customHeight="1">
      <c r="A60" s="85" t="s">
        <v>156</v>
      </c>
      <c r="B60" s="91" t="s">
        <v>157</v>
      </c>
      <c r="C60" s="120">
        <f>C61</f>
        <v>4144.953215210034</v>
      </c>
      <c r="D60" s="120">
        <f aca="true" t="shared" si="8" ref="D60:G61">D61</f>
        <v>4310.858052956401</v>
      </c>
      <c r="E60" s="120">
        <f t="shared" si="8"/>
        <v>3993.52</v>
      </c>
      <c r="F60" s="120">
        <f t="shared" si="8"/>
        <v>3993.52</v>
      </c>
      <c r="G60" s="120">
        <f t="shared" si="8"/>
        <v>3993.52</v>
      </c>
    </row>
    <row r="61" spans="1:7" s="2" customFormat="1" ht="14.25" customHeight="1">
      <c r="A61" s="135" t="s">
        <v>186</v>
      </c>
      <c r="B61" s="138" t="s">
        <v>193</v>
      </c>
      <c r="C61" s="127">
        <f>C62</f>
        <v>4144.953215210034</v>
      </c>
      <c r="D61" s="127">
        <f t="shared" si="8"/>
        <v>4310.858052956401</v>
      </c>
      <c r="E61" s="127">
        <f t="shared" si="8"/>
        <v>3993.52</v>
      </c>
      <c r="F61" s="127">
        <f t="shared" si="8"/>
        <v>3993.52</v>
      </c>
      <c r="G61" s="127">
        <f t="shared" si="8"/>
        <v>3993.52</v>
      </c>
    </row>
    <row r="62" spans="1:7" s="2" customFormat="1" ht="12.75">
      <c r="A62" s="92">
        <v>3</v>
      </c>
      <c r="B62" s="11" t="s">
        <v>10</v>
      </c>
      <c r="C62" s="118">
        <f>C63</f>
        <v>4144.953215210034</v>
      </c>
      <c r="D62" s="118">
        <f>D63</f>
        <v>4310.858052956401</v>
      </c>
      <c r="E62" s="118">
        <f>E63</f>
        <v>3993.52</v>
      </c>
      <c r="F62" s="118">
        <f>F63</f>
        <v>3993.52</v>
      </c>
      <c r="G62" s="118">
        <f>G63</f>
        <v>3993.52</v>
      </c>
    </row>
    <row r="63" spans="1:7" s="2" customFormat="1" ht="12.75">
      <c r="A63" s="12">
        <v>32</v>
      </c>
      <c r="B63" s="13" t="s">
        <v>15</v>
      </c>
      <c r="C63" s="119">
        <f>C64+C66</f>
        <v>4144.953215210034</v>
      </c>
      <c r="D63" s="119">
        <f>D64+D66</f>
        <v>4310.858052956401</v>
      </c>
      <c r="E63" s="119">
        <f>E64+E66</f>
        <v>3993.52</v>
      </c>
      <c r="F63" s="119">
        <f>E63</f>
        <v>3993.52</v>
      </c>
      <c r="G63" s="119">
        <f>F63</f>
        <v>3993.52</v>
      </c>
    </row>
    <row r="64" spans="1:7" s="2" customFormat="1" ht="12.75" customHeight="1">
      <c r="A64" s="14">
        <v>322</v>
      </c>
      <c r="B64" s="15" t="s">
        <v>17</v>
      </c>
      <c r="C64" s="110">
        <f>C65</f>
        <v>1061.7811400889243</v>
      </c>
      <c r="D64" s="110">
        <f>D65</f>
        <v>2155.4290264782003</v>
      </c>
      <c r="E64" s="110">
        <f>E65</f>
        <v>1990.85</v>
      </c>
      <c r="F64" s="110">
        <f>F65</f>
        <v>0</v>
      </c>
      <c r="G64" s="110">
        <f>G65</f>
        <v>0</v>
      </c>
    </row>
    <row r="65" spans="1:7" ht="12.75">
      <c r="A65" s="16">
        <v>3224</v>
      </c>
      <c r="B65" s="17" t="s">
        <v>40</v>
      </c>
      <c r="C65" s="114">
        <f>7999.99/7.5345</f>
        <v>1061.7811400889243</v>
      </c>
      <c r="D65" s="114">
        <f>16240.08/7.5345</f>
        <v>2155.4290264782003</v>
      </c>
      <c r="E65" s="114">
        <v>1990.85</v>
      </c>
      <c r="F65" s="114">
        <v>0</v>
      </c>
      <c r="G65" s="114">
        <v>0</v>
      </c>
    </row>
    <row r="66" spans="1:7" s="2" customFormat="1" ht="12.75" customHeight="1">
      <c r="A66" s="14">
        <v>323</v>
      </c>
      <c r="B66" s="15" t="s">
        <v>18</v>
      </c>
      <c r="C66" s="110">
        <f>C67</f>
        <v>3083.172075121109</v>
      </c>
      <c r="D66" s="110">
        <f>D67</f>
        <v>2155.4290264782003</v>
      </c>
      <c r="E66" s="110">
        <f>E67</f>
        <v>2002.67</v>
      </c>
      <c r="F66" s="110">
        <f>F67</f>
        <v>0</v>
      </c>
      <c r="G66" s="110">
        <f>G67</f>
        <v>0</v>
      </c>
    </row>
    <row r="67" spans="1:7" ht="12.75" customHeight="1">
      <c r="A67" s="16">
        <v>3232</v>
      </c>
      <c r="B67" s="17" t="s">
        <v>44</v>
      </c>
      <c r="C67" s="114">
        <f>23230.16/7.5345</f>
        <v>3083.172075121109</v>
      </c>
      <c r="D67" s="114">
        <f>16240.08/7.5345</f>
        <v>2155.4290264782003</v>
      </c>
      <c r="E67" s="114">
        <v>2002.67</v>
      </c>
      <c r="F67" s="114">
        <v>0</v>
      </c>
      <c r="G67" s="114">
        <v>0</v>
      </c>
    </row>
    <row r="68" spans="1:7" ht="12.75" customHeight="1">
      <c r="A68" s="85" t="s">
        <v>188</v>
      </c>
      <c r="B68" s="91" t="s">
        <v>189</v>
      </c>
      <c r="C68" s="120">
        <f>C69</f>
        <v>0</v>
      </c>
      <c r="D68" s="120">
        <f aca="true" t="shared" si="9" ref="D68:G69">D69</f>
        <v>0</v>
      </c>
      <c r="E68" s="120">
        <f t="shared" si="9"/>
        <v>0</v>
      </c>
      <c r="F68" s="120">
        <f t="shared" si="9"/>
        <v>0</v>
      </c>
      <c r="G68" s="120">
        <f t="shared" si="9"/>
        <v>0</v>
      </c>
    </row>
    <row r="69" spans="1:7" ht="12.75" customHeight="1">
      <c r="A69" s="135" t="s">
        <v>187</v>
      </c>
      <c r="B69" s="140" t="s">
        <v>104</v>
      </c>
      <c r="C69" s="127">
        <f>C70</f>
        <v>0</v>
      </c>
      <c r="D69" s="127">
        <f t="shared" si="9"/>
        <v>0</v>
      </c>
      <c r="E69" s="127">
        <f t="shared" si="9"/>
        <v>0</v>
      </c>
      <c r="F69" s="127">
        <f t="shared" si="9"/>
        <v>0</v>
      </c>
      <c r="G69" s="127">
        <f t="shared" si="9"/>
        <v>0</v>
      </c>
    </row>
    <row r="70" spans="1:7" ht="12.75" customHeight="1">
      <c r="A70" s="92">
        <v>3</v>
      </c>
      <c r="B70" s="11" t="s">
        <v>10</v>
      </c>
      <c r="C70" s="118">
        <f>C71</f>
        <v>0</v>
      </c>
      <c r="D70" s="118">
        <f aca="true" t="shared" si="10" ref="D70:G72">D71</f>
        <v>0</v>
      </c>
      <c r="E70" s="118">
        <f t="shared" si="10"/>
        <v>0</v>
      </c>
      <c r="F70" s="118">
        <f t="shared" si="10"/>
        <v>0</v>
      </c>
      <c r="G70" s="118">
        <f t="shared" si="10"/>
        <v>0</v>
      </c>
    </row>
    <row r="71" spans="1:7" ht="12.75" customHeight="1">
      <c r="A71" s="12">
        <v>32</v>
      </c>
      <c r="B71" s="13" t="s">
        <v>15</v>
      </c>
      <c r="C71" s="119">
        <f>C72</f>
        <v>0</v>
      </c>
      <c r="D71" s="119">
        <f t="shared" si="10"/>
        <v>0</v>
      </c>
      <c r="E71" s="119">
        <f t="shared" si="10"/>
        <v>0</v>
      </c>
      <c r="F71" s="119">
        <f t="shared" si="10"/>
        <v>0</v>
      </c>
      <c r="G71" s="119">
        <f t="shared" si="10"/>
        <v>0</v>
      </c>
    </row>
    <row r="72" spans="1:7" ht="12.75" customHeight="1">
      <c r="A72" s="14">
        <v>322</v>
      </c>
      <c r="B72" s="15" t="s">
        <v>17</v>
      </c>
      <c r="C72" s="110">
        <f>C73</f>
        <v>0</v>
      </c>
      <c r="D72" s="110">
        <f t="shared" si="10"/>
        <v>0</v>
      </c>
      <c r="E72" s="110">
        <f t="shared" si="10"/>
        <v>0</v>
      </c>
      <c r="F72" s="110">
        <f t="shared" si="10"/>
        <v>0</v>
      </c>
      <c r="G72" s="110">
        <f t="shared" si="10"/>
        <v>0</v>
      </c>
    </row>
    <row r="73" spans="1:7" ht="12.75" customHeight="1">
      <c r="A73" s="16">
        <v>3223</v>
      </c>
      <c r="B73" s="17" t="s">
        <v>39</v>
      </c>
      <c r="C73" s="114">
        <v>0</v>
      </c>
      <c r="D73" s="114">
        <v>0</v>
      </c>
      <c r="E73" s="114"/>
      <c r="F73" s="114">
        <v>0</v>
      </c>
      <c r="G73" s="114">
        <v>0</v>
      </c>
    </row>
    <row r="74" spans="1:7" ht="24.75" customHeight="1">
      <c r="A74" s="84" t="s">
        <v>158</v>
      </c>
      <c r="B74" s="98" t="s">
        <v>159</v>
      </c>
      <c r="C74" s="121">
        <f>C75</f>
        <v>59013.08381445351</v>
      </c>
      <c r="D74" s="121">
        <f>D75</f>
        <v>34995.686508726525</v>
      </c>
      <c r="E74" s="121">
        <f>E75</f>
        <v>31895.01744906762</v>
      </c>
      <c r="F74" s="121">
        <f>F75</f>
        <v>30833.23744906762</v>
      </c>
      <c r="G74" s="121">
        <f>G75</f>
        <v>30833.23744906762</v>
      </c>
    </row>
    <row r="75" spans="1:7" ht="26.25" customHeight="1">
      <c r="A75" s="84" t="s">
        <v>160</v>
      </c>
      <c r="B75" s="98" t="s">
        <v>161</v>
      </c>
      <c r="C75" s="121">
        <f>C76+C156+C166</f>
        <v>59013.08381445351</v>
      </c>
      <c r="D75" s="121">
        <f>D76+D156+D166</f>
        <v>34995.686508726525</v>
      </c>
      <c r="E75" s="121">
        <f>E76+E156+E166</f>
        <v>31895.01744906762</v>
      </c>
      <c r="F75" s="121">
        <f>F76+F156+F166</f>
        <v>30833.23744906762</v>
      </c>
      <c r="G75" s="121">
        <f>G76+G156+G166</f>
        <v>30833.23744906762</v>
      </c>
    </row>
    <row r="76" spans="1:7" ht="17.25" customHeight="1">
      <c r="A76" s="94" t="s">
        <v>153</v>
      </c>
      <c r="B76" s="93" t="s">
        <v>162</v>
      </c>
      <c r="C76" s="121">
        <f>C77+C92+C106+C114</f>
        <v>35786.59234189395</v>
      </c>
      <c r="D76" s="121">
        <f>D77+D92+D106+D114</f>
        <v>34995.686508726525</v>
      </c>
      <c r="E76" s="121">
        <f>E85+E106+E128+E142</f>
        <v>31895.01744906762</v>
      </c>
      <c r="F76" s="121">
        <f>F106+F128+F142</f>
        <v>30833.23744906762</v>
      </c>
      <c r="G76" s="121">
        <f>G106+G128+G142</f>
        <v>30833.23744906762</v>
      </c>
    </row>
    <row r="77" spans="1:7" ht="16.5" customHeight="1">
      <c r="A77" s="99" t="s">
        <v>155</v>
      </c>
      <c r="B77" s="99" t="s">
        <v>203</v>
      </c>
      <c r="C77" s="123">
        <f>C78</f>
        <v>4982.94511911872</v>
      </c>
      <c r="D77" s="123">
        <f aca="true" t="shared" si="11" ref="D77:G81">D78</f>
        <v>0</v>
      </c>
      <c r="E77" s="123">
        <f t="shared" si="11"/>
        <v>0</v>
      </c>
      <c r="F77" s="123">
        <f t="shared" si="11"/>
        <v>0</v>
      </c>
      <c r="G77" s="123">
        <f t="shared" si="11"/>
        <v>0</v>
      </c>
    </row>
    <row r="78" spans="1:7" ht="16.5" customHeight="1">
      <c r="A78" s="135" t="s">
        <v>187</v>
      </c>
      <c r="B78" s="140" t="s">
        <v>104</v>
      </c>
      <c r="C78" s="122">
        <f>C79</f>
        <v>4982.94511911872</v>
      </c>
      <c r="D78" s="122">
        <f t="shared" si="11"/>
        <v>0</v>
      </c>
      <c r="E78" s="122">
        <f t="shared" si="11"/>
        <v>0</v>
      </c>
      <c r="F78" s="122">
        <f t="shared" si="11"/>
        <v>0</v>
      </c>
      <c r="G78" s="122">
        <f t="shared" si="11"/>
        <v>0</v>
      </c>
    </row>
    <row r="79" spans="1:7" ht="12.75" customHeight="1">
      <c r="A79" s="95">
        <v>3</v>
      </c>
      <c r="B79" s="19" t="s">
        <v>10</v>
      </c>
      <c r="C79" s="118">
        <f>C80</f>
        <v>4982.94511911872</v>
      </c>
      <c r="D79" s="118">
        <f t="shared" si="11"/>
        <v>0</v>
      </c>
      <c r="E79" s="118">
        <f t="shared" si="11"/>
        <v>0</v>
      </c>
      <c r="F79" s="118">
        <f t="shared" si="11"/>
        <v>0</v>
      </c>
      <c r="G79" s="118">
        <f t="shared" si="11"/>
        <v>0</v>
      </c>
    </row>
    <row r="80" spans="1:7" ht="12.75" customHeight="1">
      <c r="A80" s="20">
        <v>32</v>
      </c>
      <c r="B80" s="21" t="s">
        <v>15</v>
      </c>
      <c r="C80" s="119">
        <f>C81+C83</f>
        <v>4982.94511911872</v>
      </c>
      <c r="D80" s="119">
        <f t="shared" si="11"/>
        <v>0</v>
      </c>
      <c r="E80" s="119">
        <f t="shared" si="11"/>
        <v>0</v>
      </c>
      <c r="F80" s="119">
        <f t="shared" si="11"/>
        <v>0</v>
      </c>
      <c r="G80" s="119">
        <f t="shared" si="11"/>
        <v>0</v>
      </c>
    </row>
    <row r="81" spans="1:7" ht="12.75" customHeight="1">
      <c r="A81" s="14">
        <v>323</v>
      </c>
      <c r="B81" s="15" t="s">
        <v>19</v>
      </c>
      <c r="C81" s="110">
        <f>C82</f>
        <v>364.98772314022165</v>
      </c>
      <c r="D81" s="110">
        <f t="shared" si="11"/>
        <v>0</v>
      </c>
      <c r="E81" s="110">
        <f t="shared" si="11"/>
        <v>0</v>
      </c>
      <c r="F81" s="110">
        <f t="shared" si="11"/>
        <v>0</v>
      </c>
      <c r="G81" s="110">
        <f t="shared" si="11"/>
        <v>0</v>
      </c>
    </row>
    <row r="82" spans="1:7" ht="12.75" customHeight="1">
      <c r="A82" s="16">
        <v>3237</v>
      </c>
      <c r="B82" s="17" t="s">
        <v>47</v>
      </c>
      <c r="C82" s="114">
        <f>2750/7.5345</f>
        <v>364.98772314022165</v>
      </c>
      <c r="D82" s="114">
        <v>0</v>
      </c>
      <c r="E82" s="114">
        <v>0</v>
      </c>
      <c r="F82" s="114">
        <v>0</v>
      </c>
      <c r="G82" s="114">
        <v>0</v>
      </c>
    </row>
    <row r="83" spans="1:7" ht="12.75" customHeight="1">
      <c r="A83" s="14">
        <v>329</v>
      </c>
      <c r="B83" s="15" t="s">
        <v>19</v>
      </c>
      <c r="C83" s="110">
        <f>C84</f>
        <v>4617.957395978498</v>
      </c>
      <c r="D83" s="110">
        <v>0</v>
      </c>
      <c r="E83" s="114">
        <v>0</v>
      </c>
      <c r="F83" s="114">
        <v>0</v>
      </c>
      <c r="G83" s="114">
        <v>0</v>
      </c>
    </row>
    <row r="84" spans="1:7" ht="12.75" customHeight="1">
      <c r="A84" s="16">
        <v>3296</v>
      </c>
      <c r="B84" s="17" t="s">
        <v>66</v>
      </c>
      <c r="C84" s="114">
        <f>34794/7.5345</f>
        <v>4617.957395978498</v>
      </c>
      <c r="D84" s="114">
        <v>0</v>
      </c>
      <c r="E84" s="114">
        <v>0</v>
      </c>
      <c r="F84" s="114">
        <v>0</v>
      </c>
      <c r="G84" s="114">
        <v>0</v>
      </c>
    </row>
    <row r="85" spans="1:7" ht="12.75" customHeight="1">
      <c r="A85" s="200" t="s">
        <v>163</v>
      </c>
      <c r="B85" s="200" t="s">
        <v>232</v>
      </c>
      <c r="C85" s="197">
        <v>0</v>
      </c>
      <c r="D85" s="197">
        <v>0</v>
      </c>
      <c r="E85" s="197">
        <f>E86</f>
        <v>1061.78</v>
      </c>
      <c r="F85" s="197">
        <v>0</v>
      </c>
      <c r="G85" s="197">
        <v>0</v>
      </c>
    </row>
    <row r="86" spans="1:7" ht="12.75" customHeight="1">
      <c r="A86" s="198" t="s">
        <v>187</v>
      </c>
      <c r="B86" s="199" t="s">
        <v>104</v>
      </c>
      <c r="C86" s="196">
        <v>0</v>
      </c>
      <c r="D86" s="196">
        <v>0</v>
      </c>
      <c r="E86" s="196">
        <f>E87</f>
        <v>1061.78</v>
      </c>
      <c r="F86" s="196">
        <v>0</v>
      </c>
      <c r="G86" s="196">
        <v>0</v>
      </c>
    </row>
    <row r="87" spans="1:7" ht="12.75" customHeight="1">
      <c r="A87" s="193">
        <v>3</v>
      </c>
      <c r="B87" s="185" t="s">
        <v>10</v>
      </c>
      <c r="C87" s="194">
        <v>0</v>
      </c>
      <c r="D87" s="194">
        <v>0</v>
      </c>
      <c r="E87" s="194">
        <f>E88</f>
        <v>1061.78</v>
      </c>
      <c r="F87" s="194">
        <v>0</v>
      </c>
      <c r="G87" s="194">
        <v>0</v>
      </c>
    </row>
    <row r="88" spans="1:7" ht="12.75" customHeight="1">
      <c r="A88" s="186">
        <v>32</v>
      </c>
      <c r="B88" s="187" t="s">
        <v>15</v>
      </c>
      <c r="C88" s="195">
        <v>0</v>
      </c>
      <c r="D88" s="195">
        <v>0</v>
      </c>
      <c r="E88" s="195">
        <f>E89</f>
        <v>1061.78</v>
      </c>
      <c r="F88" s="195">
        <v>0</v>
      </c>
      <c r="G88" s="195">
        <v>0</v>
      </c>
    </row>
    <row r="89" spans="1:7" ht="12.75" customHeight="1">
      <c r="A89" s="14">
        <v>329</v>
      </c>
      <c r="B89" s="15" t="s">
        <v>19</v>
      </c>
      <c r="C89" s="110">
        <v>0</v>
      </c>
      <c r="D89" s="110">
        <v>0</v>
      </c>
      <c r="E89" s="110">
        <f>E91</f>
        <v>1061.78</v>
      </c>
      <c r="F89" s="110">
        <v>0</v>
      </c>
      <c r="G89" s="110">
        <v>0</v>
      </c>
    </row>
    <row r="90" spans="1:7" ht="12.75" customHeight="1">
      <c r="A90" s="16">
        <v>3291</v>
      </c>
      <c r="B90" s="17" t="s">
        <v>233</v>
      </c>
      <c r="C90" s="114">
        <v>0</v>
      </c>
      <c r="D90" s="114">
        <v>0</v>
      </c>
      <c r="E90" s="114">
        <f>0</f>
        <v>0</v>
      </c>
      <c r="F90" s="114">
        <v>0</v>
      </c>
      <c r="G90" s="114">
        <v>0</v>
      </c>
    </row>
    <row r="91" spans="1:7" ht="12.75" customHeight="1">
      <c r="A91" s="16">
        <v>3299</v>
      </c>
      <c r="B91" s="17" t="s">
        <v>19</v>
      </c>
      <c r="C91" s="114">
        <v>0</v>
      </c>
      <c r="D91" s="114">
        <v>0</v>
      </c>
      <c r="E91" s="114">
        <v>1061.78</v>
      </c>
      <c r="F91" s="114">
        <v>0</v>
      </c>
      <c r="G91" s="114">
        <v>0</v>
      </c>
    </row>
    <row r="92" spans="1:7" ht="24" customHeight="1">
      <c r="A92" s="85" t="s">
        <v>204</v>
      </c>
      <c r="B92" s="91" t="s">
        <v>205</v>
      </c>
      <c r="C92" s="120">
        <f>C93</f>
        <v>19774.708341628506</v>
      </c>
      <c r="D92" s="120">
        <f aca="true" t="shared" si="12" ref="D92:G93">D93</f>
        <v>0</v>
      </c>
      <c r="E92" s="120">
        <f t="shared" si="12"/>
        <v>0</v>
      </c>
      <c r="F92" s="120">
        <f t="shared" si="12"/>
        <v>0</v>
      </c>
      <c r="G92" s="120">
        <f t="shared" si="12"/>
        <v>0</v>
      </c>
    </row>
    <row r="93" spans="1:7" ht="15" customHeight="1">
      <c r="A93" s="135" t="s">
        <v>187</v>
      </c>
      <c r="B93" s="140" t="s">
        <v>104</v>
      </c>
      <c r="C93" s="127">
        <f>C94</f>
        <v>19774.708341628506</v>
      </c>
      <c r="D93" s="127">
        <f t="shared" si="12"/>
        <v>0</v>
      </c>
      <c r="E93" s="127">
        <f t="shared" si="12"/>
        <v>0</v>
      </c>
      <c r="F93" s="127">
        <f t="shared" si="12"/>
        <v>0</v>
      </c>
      <c r="G93" s="127">
        <f t="shared" si="12"/>
        <v>0</v>
      </c>
    </row>
    <row r="94" spans="1:7" ht="12.75" customHeight="1">
      <c r="A94" s="95">
        <v>3</v>
      </c>
      <c r="B94" s="19" t="s">
        <v>10</v>
      </c>
      <c r="C94" s="118">
        <f>C95+C102</f>
        <v>19774.708341628506</v>
      </c>
      <c r="D94" s="118">
        <f>D95+D102</f>
        <v>0</v>
      </c>
      <c r="E94" s="118">
        <f>E95+E102</f>
        <v>0</v>
      </c>
      <c r="F94" s="118">
        <f>F95+F102</f>
        <v>0</v>
      </c>
      <c r="G94" s="118">
        <f>G95+G102</f>
        <v>0</v>
      </c>
    </row>
    <row r="95" spans="1:7" ht="12.75" customHeight="1">
      <c r="A95" s="12">
        <v>31</v>
      </c>
      <c r="B95" s="13" t="s">
        <v>11</v>
      </c>
      <c r="C95" s="119">
        <f>C96+C98+C100</f>
        <v>17739.73455438317</v>
      </c>
      <c r="D95" s="119">
        <f>D96+D98+D100</f>
        <v>0</v>
      </c>
      <c r="E95" s="119">
        <f>E96+E98+E100</f>
        <v>0</v>
      </c>
      <c r="F95" s="119">
        <f>F96+F98+F100</f>
        <v>0</v>
      </c>
      <c r="G95" s="119">
        <f>G96+G98+G100</f>
        <v>0</v>
      </c>
    </row>
    <row r="96" spans="1:7" ht="12.75" customHeight="1">
      <c r="A96" s="14">
        <v>311</v>
      </c>
      <c r="B96" s="15" t="s">
        <v>12</v>
      </c>
      <c r="C96" s="110">
        <f>C97</f>
        <v>15786.143738801511</v>
      </c>
      <c r="D96" s="110">
        <f>D97</f>
        <v>0</v>
      </c>
      <c r="E96" s="110">
        <f>E97</f>
        <v>0</v>
      </c>
      <c r="F96" s="110">
        <f>F97</f>
        <v>0</v>
      </c>
      <c r="G96" s="110">
        <f>G97</f>
        <v>0</v>
      </c>
    </row>
    <row r="97" spans="1:7" ht="12.75" customHeight="1">
      <c r="A97" s="16">
        <v>3111</v>
      </c>
      <c r="B97" s="17" t="s">
        <v>29</v>
      </c>
      <c r="C97" s="114">
        <f>118940.7/7.5345</f>
        <v>15786.143738801511</v>
      </c>
      <c r="D97" s="114">
        <v>0</v>
      </c>
      <c r="E97" s="114">
        <v>0</v>
      </c>
      <c r="F97" s="114">
        <v>0</v>
      </c>
      <c r="G97" s="114">
        <v>0</v>
      </c>
    </row>
    <row r="98" spans="1:7" ht="12.75" customHeight="1">
      <c r="A98" s="14">
        <v>312</v>
      </c>
      <c r="B98" s="15" t="s">
        <v>13</v>
      </c>
      <c r="C98" s="110">
        <f>C99</f>
        <v>497.71053155484765</v>
      </c>
      <c r="D98" s="110">
        <f>D99</f>
        <v>0</v>
      </c>
      <c r="E98" s="110">
        <f>E99</f>
        <v>0</v>
      </c>
      <c r="F98" s="110">
        <f>F99</f>
        <v>0</v>
      </c>
      <c r="G98" s="110">
        <f>G99</f>
        <v>0</v>
      </c>
    </row>
    <row r="99" spans="1:7" ht="12.75" customHeight="1">
      <c r="A99" s="16">
        <v>3121</v>
      </c>
      <c r="B99" s="17" t="s">
        <v>13</v>
      </c>
      <c r="C99" s="114">
        <f>3750/7.5345</f>
        <v>497.71053155484765</v>
      </c>
      <c r="D99" s="114">
        <v>0</v>
      </c>
      <c r="E99" s="114">
        <v>0</v>
      </c>
      <c r="F99" s="114">
        <v>0</v>
      </c>
      <c r="G99" s="114">
        <v>0</v>
      </c>
    </row>
    <row r="100" spans="1:7" ht="12.75" customHeight="1">
      <c r="A100" s="14">
        <v>313</v>
      </c>
      <c r="B100" s="15" t="s">
        <v>14</v>
      </c>
      <c r="C100" s="110">
        <f>C101</f>
        <v>1455.88028402681</v>
      </c>
      <c r="D100" s="110">
        <f>D101</f>
        <v>0</v>
      </c>
      <c r="E100" s="110">
        <f>E101</f>
        <v>0</v>
      </c>
      <c r="F100" s="110">
        <f>F101</f>
        <v>0</v>
      </c>
      <c r="G100" s="110">
        <v>0</v>
      </c>
    </row>
    <row r="101" spans="1:7" ht="12.75" customHeight="1">
      <c r="A101" s="16">
        <v>3132</v>
      </c>
      <c r="B101" s="36" t="s">
        <v>32</v>
      </c>
      <c r="C101" s="128">
        <f>10969.33/7.5345</f>
        <v>1455.88028402681</v>
      </c>
      <c r="D101" s="128">
        <v>0</v>
      </c>
      <c r="E101" s="128">
        <v>0</v>
      </c>
      <c r="F101" s="128">
        <v>0</v>
      </c>
      <c r="G101" s="128">
        <v>0</v>
      </c>
    </row>
    <row r="102" spans="1:7" ht="12.75" customHeight="1">
      <c r="A102" s="12">
        <v>32</v>
      </c>
      <c r="B102" s="13" t="s">
        <v>15</v>
      </c>
      <c r="C102" s="119">
        <f>C103</f>
        <v>2034.973787245338</v>
      </c>
      <c r="D102" s="119">
        <f>D103</f>
        <v>0</v>
      </c>
      <c r="E102" s="119">
        <f>E103</f>
        <v>0</v>
      </c>
      <c r="F102" s="119">
        <f>F103</f>
        <v>0</v>
      </c>
      <c r="G102" s="119">
        <f>G103</f>
        <v>0</v>
      </c>
    </row>
    <row r="103" spans="1:7" ht="12.75" customHeight="1">
      <c r="A103" s="14">
        <v>321</v>
      </c>
      <c r="B103" s="15" t="s">
        <v>16</v>
      </c>
      <c r="C103" s="110">
        <f>C104+C105</f>
        <v>2034.973787245338</v>
      </c>
      <c r="D103" s="110">
        <f>D104+D105</f>
        <v>0</v>
      </c>
      <c r="E103" s="110">
        <f>E104+E105</f>
        <v>0</v>
      </c>
      <c r="F103" s="110">
        <f>F104+F105</f>
        <v>0</v>
      </c>
      <c r="G103" s="110">
        <f>G104+G105</f>
        <v>0</v>
      </c>
    </row>
    <row r="104" spans="1:7" ht="12.75" customHeight="1">
      <c r="A104" s="16">
        <v>3211</v>
      </c>
      <c r="B104" s="17" t="s">
        <v>33</v>
      </c>
      <c r="C104" s="114">
        <v>0</v>
      </c>
      <c r="D104" s="114">
        <v>0</v>
      </c>
      <c r="E104" s="114">
        <v>0</v>
      </c>
      <c r="F104" s="114">
        <v>0</v>
      </c>
      <c r="G104" s="114">
        <v>0</v>
      </c>
    </row>
    <row r="105" spans="1:7" ht="12.75" customHeight="1">
      <c r="A105" s="16">
        <v>3212</v>
      </c>
      <c r="B105" s="17" t="s">
        <v>34</v>
      </c>
      <c r="C105" s="114">
        <f>15332.51/7.5345</f>
        <v>2034.973787245338</v>
      </c>
      <c r="D105" s="114">
        <v>0</v>
      </c>
      <c r="E105" s="114">
        <v>0</v>
      </c>
      <c r="F105" s="114">
        <v>0</v>
      </c>
      <c r="G105" s="114">
        <v>0</v>
      </c>
    </row>
    <row r="106" spans="1:7" ht="12.75" customHeight="1">
      <c r="A106" s="96" t="s">
        <v>164</v>
      </c>
      <c r="B106" s="143" t="s">
        <v>165</v>
      </c>
      <c r="C106" s="126">
        <f>C107</f>
        <v>519.3496582387683</v>
      </c>
      <c r="D106" s="126">
        <f aca="true" t="shared" si="13" ref="D106:G110">D107</f>
        <v>530.8912336585041</v>
      </c>
      <c r="E106" s="126">
        <f t="shared" si="13"/>
        <v>530.89</v>
      </c>
      <c r="F106" s="126">
        <f t="shared" si="13"/>
        <v>530.89</v>
      </c>
      <c r="G106" s="126">
        <f t="shared" si="13"/>
        <v>530.89</v>
      </c>
    </row>
    <row r="107" spans="1:7" ht="12.75" customHeight="1">
      <c r="A107" s="135" t="s">
        <v>187</v>
      </c>
      <c r="B107" s="140" t="s">
        <v>104</v>
      </c>
      <c r="C107" s="127">
        <f>C108</f>
        <v>519.3496582387683</v>
      </c>
      <c r="D107" s="127">
        <f t="shared" si="13"/>
        <v>530.8912336585041</v>
      </c>
      <c r="E107" s="127">
        <f t="shared" si="13"/>
        <v>530.89</v>
      </c>
      <c r="F107" s="127">
        <f t="shared" si="13"/>
        <v>530.89</v>
      </c>
      <c r="G107" s="127">
        <f t="shared" si="13"/>
        <v>530.89</v>
      </c>
    </row>
    <row r="108" spans="1:7" ht="12.75" customHeight="1">
      <c r="A108" s="95">
        <v>3</v>
      </c>
      <c r="B108" s="19" t="s">
        <v>10</v>
      </c>
      <c r="C108" s="118">
        <f>C109</f>
        <v>519.3496582387683</v>
      </c>
      <c r="D108" s="118">
        <f>D109</f>
        <v>530.8912336585041</v>
      </c>
      <c r="E108" s="118">
        <f>E109</f>
        <v>530.89</v>
      </c>
      <c r="F108" s="118">
        <f t="shared" si="13"/>
        <v>530.89</v>
      </c>
      <c r="G108" s="118">
        <f t="shared" si="13"/>
        <v>530.89</v>
      </c>
    </row>
    <row r="109" spans="1:7" ht="12.75" customHeight="1">
      <c r="A109" s="20">
        <v>31</v>
      </c>
      <c r="B109" s="21" t="s">
        <v>11</v>
      </c>
      <c r="C109" s="119">
        <f>C110+C112</f>
        <v>519.3496582387683</v>
      </c>
      <c r="D109" s="119">
        <f>D110+D112</f>
        <v>530.8912336585041</v>
      </c>
      <c r="E109" s="119">
        <f>E110+E112</f>
        <v>530.89</v>
      </c>
      <c r="F109" s="119">
        <f>E109</f>
        <v>530.89</v>
      </c>
      <c r="G109" s="119">
        <f>F109</f>
        <v>530.89</v>
      </c>
    </row>
    <row r="110" spans="1:7" ht="12.75" customHeight="1">
      <c r="A110" s="14">
        <v>311</v>
      </c>
      <c r="B110" s="15" t="s">
        <v>12</v>
      </c>
      <c r="C110" s="110">
        <f>C111</f>
        <v>445.7933505872984</v>
      </c>
      <c r="D110" s="110">
        <f t="shared" si="13"/>
        <v>455.6374012874112</v>
      </c>
      <c r="E110" s="110">
        <f t="shared" si="13"/>
        <v>455.64</v>
      </c>
      <c r="F110" s="110">
        <f t="shared" si="13"/>
        <v>0</v>
      </c>
      <c r="G110" s="110">
        <f t="shared" si="13"/>
        <v>0</v>
      </c>
    </row>
    <row r="111" spans="1:7" ht="12.75" customHeight="1">
      <c r="A111" s="16">
        <v>3111</v>
      </c>
      <c r="B111" s="17" t="s">
        <v>29</v>
      </c>
      <c r="C111" s="114">
        <f>3358.83/7.5345</f>
        <v>445.7933505872984</v>
      </c>
      <c r="D111" s="114">
        <f>3433/7.5345</f>
        <v>455.6374012874112</v>
      </c>
      <c r="E111" s="114">
        <v>455.64</v>
      </c>
      <c r="F111" s="114">
        <v>0</v>
      </c>
      <c r="G111" s="114">
        <v>0</v>
      </c>
    </row>
    <row r="112" spans="1:7" ht="12.75" customHeight="1">
      <c r="A112" s="159">
        <v>313</v>
      </c>
      <c r="B112" s="15" t="s">
        <v>14</v>
      </c>
      <c r="C112" s="173">
        <f>C113</f>
        <v>73.55630765146991</v>
      </c>
      <c r="D112" s="173">
        <f>D113</f>
        <v>75.25383237109297</v>
      </c>
      <c r="E112" s="173">
        <f>E113</f>
        <v>75.25</v>
      </c>
      <c r="F112" s="173">
        <v>0</v>
      </c>
      <c r="G112" s="173">
        <v>0</v>
      </c>
    </row>
    <row r="113" spans="1:7" ht="12.75" customHeight="1">
      <c r="A113" s="158">
        <v>3132</v>
      </c>
      <c r="B113" s="17" t="s">
        <v>32</v>
      </c>
      <c r="C113" s="134">
        <f>554.21/7.5345</f>
        <v>73.55630765146991</v>
      </c>
      <c r="D113" s="134">
        <f>567/7.5345</f>
        <v>75.25383237109297</v>
      </c>
      <c r="E113" s="134">
        <v>75.25</v>
      </c>
      <c r="F113" s="134">
        <v>0</v>
      </c>
      <c r="G113" s="134">
        <v>0</v>
      </c>
    </row>
    <row r="114" spans="1:7" ht="12.75" customHeight="1">
      <c r="A114" s="85" t="s">
        <v>206</v>
      </c>
      <c r="B114" s="91" t="s">
        <v>207</v>
      </c>
      <c r="C114" s="120">
        <f>C115</f>
        <v>10509.589222907956</v>
      </c>
      <c r="D114" s="120">
        <f aca="true" t="shared" si="14" ref="D114:G115">D115</f>
        <v>34464.79527506802</v>
      </c>
      <c r="E114" s="120">
        <f t="shared" si="14"/>
        <v>0</v>
      </c>
      <c r="F114" s="120">
        <f t="shared" si="14"/>
        <v>0</v>
      </c>
      <c r="G114" s="120">
        <f t="shared" si="14"/>
        <v>0</v>
      </c>
    </row>
    <row r="115" spans="1:7" ht="12.75" customHeight="1">
      <c r="A115" s="135" t="s">
        <v>187</v>
      </c>
      <c r="B115" s="140" t="s">
        <v>104</v>
      </c>
      <c r="C115" s="127">
        <f>C116</f>
        <v>10509.589222907956</v>
      </c>
      <c r="D115" s="127">
        <f t="shared" si="14"/>
        <v>34464.79527506802</v>
      </c>
      <c r="E115" s="127">
        <f t="shared" si="14"/>
        <v>0</v>
      </c>
      <c r="F115" s="127">
        <f t="shared" si="14"/>
        <v>0</v>
      </c>
      <c r="G115" s="127">
        <f t="shared" si="14"/>
        <v>0</v>
      </c>
    </row>
    <row r="116" spans="1:7" ht="12.75" customHeight="1">
      <c r="A116" s="95">
        <v>3</v>
      </c>
      <c r="B116" s="19" t="s">
        <v>10</v>
      </c>
      <c r="C116" s="118">
        <f>C117+C124</f>
        <v>10509.589222907956</v>
      </c>
      <c r="D116" s="118">
        <f>D117+D124</f>
        <v>34464.79527506802</v>
      </c>
      <c r="E116" s="118">
        <f>E117+E124</f>
        <v>0</v>
      </c>
      <c r="F116" s="118">
        <f>F117+F124</f>
        <v>0</v>
      </c>
      <c r="G116" s="118">
        <f>G117+G124</f>
        <v>0</v>
      </c>
    </row>
    <row r="117" spans="1:7" ht="12.75" customHeight="1">
      <c r="A117" s="12">
        <v>31</v>
      </c>
      <c r="B117" s="13" t="s">
        <v>11</v>
      </c>
      <c r="C117" s="119">
        <f>C118+C120+C122</f>
        <v>9466.581724069281</v>
      </c>
      <c r="D117" s="119">
        <f>D118+D120+D122</f>
        <v>30164.576282434136</v>
      </c>
      <c r="E117" s="119">
        <f>E118+E120+E122</f>
        <v>0</v>
      </c>
      <c r="F117" s="119">
        <f>F118+F120+F122</f>
        <v>0</v>
      </c>
      <c r="G117" s="119">
        <f>G118+G120+G122</f>
        <v>0</v>
      </c>
    </row>
    <row r="118" spans="1:7" ht="12.75" customHeight="1">
      <c r="A118" s="14">
        <v>311</v>
      </c>
      <c r="B118" s="15" t="s">
        <v>12</v>
      </c>
      <c r="C118" s="110">
        <f>C119</f>
        <v>7670.118786913531</v>
      </c>
      <c r="D118" s="110">
        <f>D119</f>
        <v>24867.078107372752</v>
      </c>
      <c r="E118" s="110">
        <f>E119</f>
        <v>0</v>
      </c>
      <c r="F118" s="110">
        <f>F119</f>
        <v>0</v>
      </c>
      <c r="G118" s="110">
        <f>G119</f>
        <v>0</v>
      </c>
    </row>
    <row r="119" spans="1:7" ht="12.75" customHeight="1">
      <c r="A119" s="16">
        <v>3111</v>
      </c>
      <c r="B119" s="17" t="s">
        <v>29</v>
      </c>
      <c r="C119" s="114">
        <f>57790.51/7.5345</f>
        <v>7670.118786913531</v>
      </c>
      <c r="D119" s="114">
        <f>187361/7.5345</f>
        <v>24867.078107372752</v>
      </c>
      <c r="E119" s="114">
        <v>0</v>
      </c>
      <c r="F119" s="114">
        <v>0</v>
      </c>
      <c r="G119" s="114">
        <v>0</v>
      </c>
    </row>
    <row r="120" spans="1:7" ht="12.75" customHeight="1">
      <c r="A120" s="14">
        <v>312</v>
      </c>
      <c r="B120" s="15" t="s">
        <v>13</v>
      </c>
      <c r="C120" s="110">
        <f>C121</f>
        <v>530.8912336585042</v>
      </c>
      <c r="D120" s="110">
        <f>D121</f>
        <v>1194.5052757316344</v>
      </c>
      <c r="E120" s="110">
        <f>E121</f>
        <v>0</v>
      </c>
      <c r="F120" s="110">
        <f>F121</f>
        <v>0</v>
      </c>
      <c r="G120" s="110">
        <f>G121</f>
        <v>0</v>
      </c>
    </row>
    <row r="121" spans="1:7" ht="12.75" customHeight="1">
      <c r="A121" s="16">
        <v>3121</v>
      </c>
      <c r="B121" s="17" t="s">
        <v>13</v>
      </c>
      <c r="C121" s="114">
        <f>4000/7.5345</f>
        <v>530.8912336585042</v>
      </c>
      <c r="D121" s="114">
        <f>9000/7.5345</f>
        <v>1194.5052757316344</v>
      </c>
      <c r="E121" s="114">
        <v>0</v>
      </c>
      <c r="F121" s="114">
        <v>0</v>
      </c>
      <c r="G121" s="114">
        <v>0</v>
      </c>
    </row>
    <row r="122" spans="1:7" ht="12.75" customHeight="1">
      <c r="A122" s="14">
        <v>313</v>
      </c>
      <c r="B122" s="15" t="s">
        <v>14</v>
      </c>
      <c r="C122" s="110">
        <f>C123</f>
        <v>1265.571703497246</v>
      </c>
      <c r="D122" s="110">
        <f>D123</f>
        <v>4102.99289932975</v>
      </c>
      <c r="E122" s="110">
        <f>E123</f>
        <v>0</v>
      </c>
      <c r="F122" s="110">
        <f>F123</f>
        <v>0</v>
      </c>
      <c r="G122" s="110">
        <f>G123</f>
        <v>0</v>
      </c>
    </row>
    <row r="123" spans="1:7" ht="12.75" customHeight="1">
      <c r="A123" s="16">
        <v>3132</v>
      </c>
      <c r="B123" s="36" t="s">
        <v>32</v>
      </c>
      <c r="C123" s="128">
        <f>9535.45/7.5345</f>
        <v>1265.571703497246</v>
      </c>
      <c r="D123" s="128">
        <f>30914/7.5345</f>
        <v>4102.99289932975</v>
      </c>
      <c r="E123" s="128">
        <v>0</v>
      </c>
      <c r="F123" s="128">
        <v>0</v>
      </c>
      <c r="G123" s="128">
        <v>0</v>
      </c>
    </row>
    <row r="124" spans="1:7" ht="12.75" customHeight="1">
      <c r="A124" s="12">
        <v>32</v>
      </c>
      <c r="B124" s="13" t="s">
        <v>15</v>
      </c>
      <c r="C124" s="119">
        <f>C125</f>
        <v>1043.0074988386755</v>
      </c>
      <c r="D124" s="119">
        <f>D125</f>
        <v>4300.218992633883</v>
      </c>
      <c r="E124" s="119">
        <f>E125</f>
        <v>0</v>
      </c>
      <c r="F124" s="119">
        <f>F125</f>
        <v>0</v>
      </c>
      <c r="G124" s="119">
        <f>G125</f>
        <v>0</v>
      </c>
    </row>
    <row r="125" spans="1:7" ht="12.75" customHeight="1">
      <c r="A125" s="14">
        <v>321</v>
      </c>
      <c r="B125" s="15" t="s">
        <v>16</v>
      </c>
      <c r="C125" s="110">
        <f>C126+C127</f>
        <v>1043.0074988386755</v>
      </c>
      <c r="D125" s="110">
        <f>D126+D127</f>
        <v>4300.218992633883</v>
      </c>
      <c r="E125" s="110">
        <f>E126+E127</f>
        <v>0</v>
      </c>
      <c r="F125" s="110">
        <f>F126+F127</f>
        <v>0</v>
      </c>
      <c r="G125" s="110">
        <f>G126+G127</f>
        <v>0</v>
      </c>
    </row>
    <row r="126" spans="1:7" ht="12.75" customHeight="1">
      <c r="A126" s="16">
        <v>3211</v>
      </c>
      <c r="B126" s="17" t="s">
        <v>33</v>
      </c>
      <c r="C126" s="114">
        <v>0</v>
      </c>
      <c r="D126" s="114">
        <f>2400/7.5345</f>
        <v>318.53474019510253</v>
      </c>
      <c r="E126" s="114">
        <v>0</v>
      </c>
      <c r="F126" s="114">
        <v>0</v>
      </c>
      <c r="G126" s="114">
        <v>0</v>
      </c>
    </row>
    <row r="127" spans="1:7" ht="12.75" customHeight="1">
      <c r="A127" s="16">
        <v>3212</v>
      </c>
      <c r="B127" s="17" t="s">
        <v>34</v>
      </c>
      <c r="C127" s="114">
        <f>7858.54/7.5345</f>
        <v>1043.0074988386755</v>
      </c>
      <c r="D127" s="114">
        <f>30000/7.5345</f>
        <v>3981.684252438781</v>
      </c>
      <c r="E127" s="114">
        <v>0</v>
      </c>
      <c r="F127" s="114">
        <v>0</v>
      </c>
      <c r="G127" s="114">
        <v>0</v>
      </c>
    </row>
    <row r="128" spans="1:7" ht="12.75" customHeight="1">
      <c r="A128" s="85" t="s">
        <v>229</v>
      </c>
      <c r="B128" s="91" t="s">
        <v>228</v>
      </c>
      <c r="C128" s="120">
        <f>C129</f>
        <v>0</v>
      </c>
      <c r="D128" s="120">
        <f aca="true" t="shared" si="15" ref="D128:G129">D129</f>
        <v>0</v>
      </c>
      <c r="E128" s="120">
        <f t="shared" si="15"/>
        <v>17372.75689893158</v>
      </c>
      <c r="F128" s="120">
        <f t="shared" si="15"/>
        <v>17372.75689893158</v>
      </c>
      <c r="G128" s="120">
        <f t="shared" si="15"/>
        <v>17372.75689893158</v>
      </c>
    </row>
    <row r="129" spans="1:7" ht="12.75" customHeight="1">
      <c r="A129" s="135" t="s">
        <v>187</v>
      </c>
      <c r="B129" s="140" t="s">
        <v>104</v>
      </c>
      <c r="C129" s="127">
        <f>C130</f>
        <v>0</v>
      </c>
      <c r="D129" s="127">
        <f t="shared" si="15"/>
        <v>0</v>
      </c>
      <c r="E129" s="127">
        <f t="shared" si="15"/>
        <v>17372.75689893158</v>
      </c>
      <c r="F129" s="127">
        <f t="shared" si="15"/>
        <v>17372.75689893158</v>
      </c>
      <c r="G129" s="127">
        <f t="shared" si="15"/>
        <v>17372.75689893158</v>
      </c>
    </row>
    <row r="130" spans="1:7" ht="12.75" customHeight="1">
      <c r="A130" s="95">
        <v>3</v>
      </c>
      <c r="B130" s="19" t="s">
        <v>10</v>
      </c>
      <c r="C130" s="118">
        <f>C131+C139</f>
        <v>0</v>
      </c>
      <c r="D130" s="118">
        <f>D131+D138</f>
        <v>0</v>
      </c>
      <c r="E130" s="118">
        <f>E131+E138</f>
        <v>17372.75689893158</v>
      </c>
      <c r="F130" s="118">
        <f>F131+F138</f>
        <v>17372.75689893158</v>
      </c>
      <c r="G130" s="118">
        <f>G131+G138</f>
        <v>17372.75689893158</v>
      </c>
    </row>
    <row r="131" spans="1:7" ht="12.75" customHeight="1">
      <c r="A131" s="12">
        <v>31</v>
      </c>
      <c r="B131" s="13" t="s">
        <v>11</v>
      </c>
      <c r="C131" s="119">
        <f>C132+C134+C136</f>
        <v>0</v>
      </c>
      <c r="D131" s="119">
        <v>0</v>
      </c>
      <c r="E131" s="119">
        <f>E132+E134+E136</f>
        <v>15196.102840931713</v>
      </c>
      <c r="F131" s="119">
        <f>E131</f>
        <v>15196.102840931713</v>
      </c>
      <c r="G131" s="119">
        <f>F131</f>
        <v>15196.102840931713</v>
      </c>
    </row>
    <row r="132" spans="1:7" ht="12.75" customHeight="1">
      <c r="A132" s="14">
        <v>311</v>
      </c>
      <c r="B132" s="15" t="s">
        <v>12</v>
      </c>
      <c r="C132" s="110">
        <v>0</v>
      </c>
      <c r="D132" s="110">
        <v>0</v>
      </c>
      <c r="E132" s="110">
        <f>E133</f>
        <v>11727.59</v>
      </c>
      <c r="F132" s="110">
        <f>F133</f>
        <v>0</v>
      </c>
      <c r="G132" s="110">
        <f>G133</f>
        <v>0</v>
      </c>
    </row>
    <row r="133" spans="1:7" ht="12.75" customHeight="1">
      <c r="A133" s="16">
        <v>3111</v>
      </c>
      <c r="B133" s="17" t="s">
        <v>29</v>
      </c>
      <c r="C133" s="114">
        <v>0</v>
      </c>
      <c r="D133" s="114">
        <v>0</v>
      </c>
      <c r="E133" s="114">
        <v>11727.59</v>
      </c>
      <c r="F133" s="114">
        <v>0</v>
      </c>
      <c r="G133" s="114">
        <v>0</v>
      </c>
    </row>
    <row r="134" spans="1:7" ht="12.75" customHeight="1">
      <c r="A134" s="14">
        <v>312</v>
      </c>
      <c r="B134" s="15" t="s">
        <v>13</v>
      </c>
      <c r="C134" s="110">
        <f>C135</f>
        <v>0</v>
      </c>
      <c r="D134" s="110">
        <v>0</v>
      </c>
      <c r="E134" s="110">
        <f>E135</f>
        <v>637.0694803902051</v>
      </c>
      <c r="F134" s="110">
        <f>F135</f>
        <v>0</v>
      </c>
      <c r="G134" s="110">
        <f>G135</f>
        <v>0</v>
      </c>
    </row>
    <row r="135" spans="1:7" ht="12.75" customHeight="1">
      <c r="A135" s="16">
        <v>3121</v>
      </c>
      <c r="B135" s="17" t="s">
        <v>13</v>
      </c>
      <c r="C135" s="114">
        <v>0</v>
      </c>
      <c r="D135" s="114">
        <v>0</v>
      </c>
      <c r="E135" s="114">
        <f>4800/7.5345</f>
        <v>637.0694803902051</v>
      </c>
      <c r="F135" s="114">
        <v>0</v>
      </c>
      <c r="G135" s="114">
        <v>0</v>
      </c>
    </row>
    <row r="136" spans="1:7" ht="12.75" customHeight="1">
      <c r="A136" s="14">
        <v>313</v>
      </c>
      <c r="B136" s="15" t="s">
        <v>14</v>
      </c>
      <c r="C136" s="110">
        <f>C137</f>
        <v>0</v>
      </c>
      <c r="D136" s="110">
        <v>0</v>
      </c>
      <c r="E136" s="110">
        <f>E137</f>
        <v>2831.443360541509</v>
      </c>
      <c r="F136" s="110">
        <f>F137</f>
        <v>0</v>
      </c>
      <c r="G136" s="110">
        <f>G137</f>
        <v>0</v>
      </c>
    </row>
    <row r="137" spans="1:7" ht="12.75" customHeight="1">
      <c r="A137" s="16">
        <v>3132</v>
      </c>
      <c r="B137" s="36" t="s">
        <v>32</v>
      </c>
      <c r="C137" s="128">
        <v>0</v>
      </c>
      <c r="D137" s="128">
        <v>0</v>
      </c>
      <c r="E137" s="128">
        <f>21333.51/7.5345</f>
        <v>2831.443360541509</v>
      </c>
      <c r="F137" s="128">
        <v>0</v>
      </c>
      <c r="G137" s="128">
        <v>0</v>
      </c>
    </row>
    <row r="138" spans="1:7" ht="12.75" customHeight="1">
      <c r="A138" s="12">
        <v>32</v>
      </c>
      <c r="B138" s="13" t="s">
        <v>15</v>
      </c>
      <c r="C138" s="119">
        <f>C139</f>
        <v>0</v>
      </c>
      <c r="D138" s="119">
        <v>0</v>
      </c>
      <c r="E138" s="119">
        <f>E139</f>
        <v>2176.6540579998673</v>
      </c>
      <c r="F138" s="119">
        <f>E138</f>
        <v>2176.6540579998673</v>
      </c>
      <c r="G138" s="119">
        <f>F138</f>
        <v>2176.6540579998673</v>
      </c>
    </row>
    <row r="139" spans="1:7" ht="12.75" customHeight="1">
      <c r="A139" s="14">
        <v>321</v>
      </c>
      <c r="B139" s="15" t="s">
        <v>16</v>
      </c>
      <c r="C139" s="110">
        <f>C140+C141</f>
        <v>0</v>
      </c>
      <c r="D139" s="110">
        <v>0</v>
      </c>
      <c r="E139" s="110">
        <f>E140+E141</f>
        <v>2176.6540579998673</v>
      </c>
      <c r="F139" s="110">
        <f>F140+F141</f>
        <v>0</v>
      </c>
      <c r="G139" s="110">
        <f>G140+G141</f>
        <v>0</v>
      </c>
    </row>
    <row r="140" spans="1:7" ht="12.75" customHeight="1">
      <c r="A140" s="16">
        <v>3211</v>
      </c>
      <c r="B140" s="17" t="s">
        <v>33</v>
      </c>
      <c r="C140" s="114">
        <v>0</v>
      </c>
      <c r="D140" s="114">
        <v>0</v>
      </c>
      <c r="E140" s="114">
        <f>2400/7.5345</f>
        <v>318.53474019510253</v>
      </c>
      <c r="F140" s="114">
        <v>0</v>
      </c>
      <c r="G140" s="114">
        <v>0</v>
      </c>
    </row>
    <row r="141" spans="1:7" ht="12.75" customHeight="1">
      <c r="A141" s="16">
        <v>3212</v>
      </c>
      <c r="B141" s="17" t="s">
        <v>34</v>
      </c>
      <c r="C141" s="114">
        <v>0</v>
      </c>
      <c r="D141" s="114">
        <v>0</v>
      </c>
      <c r="E141" s="114">
        <f>14000/7.5345</f>
        <v>1858.1193178047647</v>
      </c>
      <c r="F141" s="114">
        <v>0</v>
      </c>
      <c r="G141" s="114">
        <v>0</v>
      </c>
    </row>
    <row r="142" spans="1:7" ht="12.75" customHeight="1">
      <c r="A142" s="85" t="s">
        <v>230</v>
      </c>
      <c r="B142" s="91" t="s">
        <v>231</v>
      </c>
      <c r="C142" s="120">
        <f>C143</f>
        <v>0</v>
      </c>
      <c r="D142" s="120">
        <f aca="true" t="shared" si="16" ref="D142:G143">D143</f>
        <v>0</v>
      </c>
      <c r="E142" s="120">
        <f t="shared" si="16"/>
        <v>12929.59055013604</v>
      </c>
      <c r="F142" s="120">
        <f t="shared" si="16"/>
        <v>12929.59055013604</v>
      </c>
      <c r="G142" s="120">
        <f t="shared" si="16"/>
        <v>12929.59055013604</v>
      </c>
    </row>
    <row r="143" spans="1:7" ht="12.75" customHeight="1">
      <c r="A143" s="135" t="s">
        <v>187</v>
      </c>
      <c r="B143" s="140" t="s">
        <v>104</v>
      </c>
      <c r="C143" s="127">
        <f>C144</f>
        <v>0</v>
      </c>
      <c r="D143" s="127">
        <f t="shared" si="16"/>
        <v>0</v>
      </c>
      <c r="E143" s="127">
        <f t="shared" si="16"/>
        <v>12929.59055013604</v>
      </c>
      <c r="F143" s="127">
        <f t="shared" si="16"/>
        <v>12929.59055013604</v>
      </c>
      <c r="G143" s="127">
        <f t="shared" si="16"/>
        <v>12929.59055013604</v>
      </c>
    </row>
    <row r="144" spans="1:7" ht="12.75" customHeight="1">
      <c r="A144" s="95">
        <v>3</v>
      </c>
      <c r="B144" s="19" t="s">
        <v>10</v>
      </c>
      <c r="C144" s="118">
        <f>C145+C152</f>
        <v>0</v>
      </c>
      <c r="D144" s="118">
        <f>D145+D152</f>
        <v>0</v>
      </c>
      <c r="E144" s="118">
        <f>E145+E152</f>
        <v>12929.59055013604</v>
      </c>
      <c r="F144" s="118">
        <f>F145+F152</f>
        <v>12929.59055013604</v>
      </c>
      <c r="G144" s="118">
        <f>G145+G152</f>
        <v>12929.59055013604</v>
      </c>
    </row>
    <row r="145" spans="1:7" ht="12.75" customHeight="1">
      <c r="A145" s="12">
        <v>31</v>
      </c>
      <c r="B145" s="13" t="s">
        <v>11</v>
      </c>
      <c r="C145" s="119">
        <f>C146+C148+C150</f>
        <v>0</v>
      </c>
      <c r="D145" s="119">
        <v>0</v>
      </c>
      <c r="E145" s="119">
        <f>E146+E148+E150</f>
        <v>11469.639657575153</v>
      </c>
      <c r="F145" s="119">
        <f>E145</f>
        <v>11469.639657575153</v>
      </c>
      <c r="G145" s="119">
        <f>F145</f>
        <v>11469.639657575153</v>
      </c>
    </row>
    <row r="146" spans="1:7" ht="12.75" customHeight="1">
      <c r="A146" s="14">
        <v>311</v>
      </c>
      <c r="B146" s="15" t="s">
        <v>12</v>
      </c>
      <c r="C146" s="110">
        <f>C147</f>
        <v>0</v>
      </c>
      <c r="D146" s="110">
        <v>0</v>
      </c>
      <c r="E146" s="110">
        <v>9000</v>
      </c>
      <c r="F146" s="110">
        <f>F147</f>
        <v>0</v>
      </c>
      <c r="G146" s="110">
        <f>G147</f>
        <v>0</v>
      </c>
    </row>
    <row r="147" spans="1:7" ht="12.75" customHeight="1">
      <c r="A147" s="16">
        <v>3111</v>
      </c>
      <c r="B147" s="17" t="s">
        <v>29</v>
      </c>
      <c r="C147" s="114">
        <v>0</v>
      </c>
      <c r="D147" s="114">
        <v>0</v>
      </c>
      <c r="E147" s="114">
        <f>85500/7.5345</f>
        <v>11347.800119450527</v>
      </c>
      <c r="F147" s="114">
        <v>0</v>
      </c>
      <c r="G147" s="114">
        <v>0</v>
      </c>
    </row>
    <row r="148" spans="1:7" ht="12.75" customHeight="1">
      <c r="A148" s="14">
        <v>312</v>
      </c>
      <c r="B148" s="15" t="s">
        <v>13</v>
      </c>
      <c r="C148" s="110">
        <f>C149</f>
        <v>0</v>
      </c>
      <c r="D148" s="110">
        <v>0</v>
      </c>
      <c r="E148" s="110">
        <f>E149</f>
        <v>597.2526378658172</v>
      </c>
      <c r="F148" s="110">
        <f>F149</f>
        <v>0</v>
      </c>
      <c r="G148" s="110">
        <f>G149</f>
        <v>0</v>
      </c>
    </row>
    <row r="149" spans="1:7" ht="12.75" customHeight="1">
      <c r="A149" s="16">
        <v>3121</v>
      </c>
      <c r="B149" s="17" t="s">
        <v>13</v>
      </c>
      <c r="C149" s="114">
        <v>0</v>
      </c>
      <c r="D149" s="114">
        <v>0</v>
      </c>
      <c r="E149" s="114">
        <f>4500/7.5345</f>
        <v>597.2526378658172</v>
      </c>
      <c r="F149" s="114">
        <v>0</v>
      </c>
      <c r="G149" s="114">
        <v>0</v>
      </c>
    </row>
    <row r="150" spans="1:7" ht="12.75" customHeight="1">
      <c r="A150" s="14">
        <v>313</v>
      </c>
      <c r="B150" s="15" t="s">
        <v>14</v>
      </c>
      <c r="C150" s="110">
        <f>C151</f>
        <v>0</v>
      </c>
      <c r="D150" s="110">
        <v>0</v>
      </c>
      <c r="E150" s="110">
        <f>E151</f>
        <v>1872.387019709337</v>
      </c>
      <c r="F150" s="110">
        <f>F151</f>
        <v>0</v>
      </c>
      <c r="G150" s="110">
        <f>G151</f>
        <v>0</v>
      </c>
    </row>
    <row r="151" spans="1:7" ht="12.75" customHeight="1">
      <c r="A151" s="16">
        <v>3132</v>
      </c>
      <c r="B151" s="36" t="s">
        <v>32</v>
      </c>
      <c r="C151" s="128">
        <v>0</v>
      </c>
      <c r="D151" s="128">
        <v>0</v>
      </c>
      <c r="E151" s="128">
        <f>14107.5/7.5345</f>
        <v>1872.387019709337</v>
      </c>
      <c r="F151" s="128">
        <v>0</v>
      </c>
      <c r="G151" s="128">
        <v>0</v>
      </c>
    </row>
    <row r="152" spans="1:7" ht="12.75" customHeight="1">
      <c r="A152" s="12">
        <v>32</v>
      </c>
      <c r="B152" s="13" t="s">
        <v>15</v>
      </c>
      <c r="C152" s="119">
        <f>C153</f>
        <v>0</v>
      </c>
      <c r="D152" s="119">
        <v>0</v>
      </c>
      <c r="E152" s="119">
        <f>E153</f>
        <v>1459.9508925608866</v>
      </c>
      <c r="F152" s="119">
        <f>E152</f>
        <v>1459.9508925608866</v>
      </c>
      <c r="G152" s="119">
        <f>F152</f>
        <v>1459.9508925608866</v>
      </c>
    </row>
    <row r="153" spans="1:7" ht="12.75" customHeight="1">
      <c r="A153" s="14">
        <v>321</v>
      </c>
      <c r="B153" s="15" t="s">
        <v>16</v>
      </c>
      <c r="C153" s="110">
        <f>C154+C155</f>
        <v>0</v>
      </c>
      <c r="D153" s="110">
        <v>0</v>
      </c>
      <c r="E153" s="110">
        <f>E154+E155</f>
        <v>1459.9508925608866</v>
      </c>
      <c r="F153" s="110">
        <f>F154+F155</f>
        <v>0</v>
      </c>
      <c r="G153" s="110">
        <f>G154+G155</f>
        <v>0</v>
      </c>
    </row>
    <row r="154" spans="1:7" ht="12.75" customHeight="1">
      <c r="A154" s="16">
        <v>3211</v>
      </c>
      <c r="B154" s="17" t="s">
        <v>33</v>
      </c>
      <c r="C154" s="114">
        <v>0</v>
      </c>
      <c r="D154" s="114">
        <v>0</v>
      </c>
      <c r="E154" s="114">
        <f>1200/7.5345</f>
        <v>159.26737009755126</v>
      </c>
      <c r="F154" s="114">
        <v>0</v>
      </c>
      <c r="G154" s="114">
        <v>0</v>
      </c>
    </row>
    <row r="155" spans="1:7" ht="12.75" customHeight="1">
      <c r="A155" s="16">
        <v>3212</v>
      </c>
      <c r="B155" s="17" t="s">
        <v>34</v>
      </c>
      <c r="C155" s="114">
        <v>0</v>
      </c>
      <c r="D155" s="114">
        <v>0</v>
      </c>
      <c r="E155" s="114">
        <f>9800/7.5345</f>
        <v>1300.6835224633353</v>
      </c>
      <c r="F155" s="114">
        <v>0</v>
      </c>
      <c r="G155" s="114">
        <v>0</v>
      </c>
    </row>
    <row r="156" spans="1:7" ht="13.5" customHeight="1">
      <c r="A156" s="171" t="s">
        <v>166</v>
      </c>
      <c r="B156" s="172" t="s">
        <v>167</v>
      </c>
      <c r="C156" s="170">
        <f>C157</f>
        <v>23226.49147255956</v>
      </c>
      <c r="D156" s="129">
        <f aca="true" t="shared" si="17" ref="D156:G160">D157</f>
        <v>0</v>
      </c>
      <c r="E156" s="129">
        <f t="shared" si="17"/>
        <v>0</v>
      </c>
      <c r="F156" s="129">
        <f t="shared" si="17"/>
        <v>0</v>
      </c>
      <c r="G156" s="129">
        <f t="shared" si="17"/>
        <v>0</v>
      </c>
    </row>
    <row r="157" spans="1:7" ht="12.75" customHeight="1">
      <c r="A157" s="91" t="s">
        <v>168</v>
      </c>
      <c r="B157" s="91" t="s">
        <v>169</v>
      </c>
      <c r="C157" s="123">
        <f>C158</f>
        <v>23226.49147255956</v>
      </c>
      <c r="D157" s="123">
        <f t="shared" si="17"/>
        <v>0</v>
      </c>
      <c r="E157" s="123">
        <f t="shared" si="17"/>
        <v>0</v>
      </c>
      <c r="F157" s="123">
        <f t="shared" si="17"/>
        <v>0</v>
      </c>
      <c r="G157" s="123">
        <f t="shared" si="17"/>
        <v>0</v>
      </c>
    </row>
    <row r="158" spans="1:7" ht="12.75" customHeight="1">
      <c r="A158" s="135" t="s">
        <v>187</v>
      </c>
      <c r="B158" s="140" t="s">
        <v>104</v>
      </c>
      <c r="C158" s="122">
        <f>C159</f>
        <v>23226.49147255956</v>
      </c>
      <c r="D158" s="122">
        <f t="shared" si="17"/>
        <v>0</v>
      </c>
      <c r="E158" s="122">
        <f t="shared" si="17"/>
        <v>0</v>
      </c>
      <c r="F158" s="122">
        <f t="shared" si="17"/>
        <v>0</v>
      </c>
      <c r="G158" s="122">
        <f t="shared" si="17"/>
        <v>0</v>
      </c>
    </row>
    <row r="159" spans="1:7" ht="25.5">
      <c r="A159" s="92">
        <v>4</v>
      </c>
      <c r="B159" s="18" t="s">
        <v>23</v>
      </c>
      <c r="C159" s="118">
        <f>C160</f>
        <v>23226.49147255956</v>
      </c>
      <c r="D159" s="118">
        <f t="shared" si="17"/>
        <v>0</v>
      </c>
      <c r="E159" s="118">
        <f t="shared" si="17"/>
        <v>0</v>
      </c>
      <c r="F159" s="118">
        <f t="shared" si="17"/>
        <v>0</v>
      </c>
      <c r="G159" s="118">
        <f t="shared" si="17"/>
        <v>0</v>
      </c>
    </row>
    <row r="160" spans="1:7" ht="25.5">
      <c r="A160" s="12">
        <v>42</v>
      </c>
      <c r="B160" s="13" t="s">
        <v>24</v>
      </c>
      <c r="C160" s="119">
        <f>C161</f>
        <v>23226.49147255956</v>
      </c>
      <c r="D160" s="119">
        <f t="shared" si="17"/>
        <v>0</v>
      </c>
      <c r="E160" s="119">
        <f t="shared" si="17"/>
        <v>0</v>
      </c>
      <c r="F160" s="119">
        <f t="shared" si="17"/>
        <v>0</v>
      </c>
      <c r="G160" s="119">
        <f t="shared" si="17"/>
        <v>0</v>
      </c>
    </row>
    <row r="161" spans="1:7" ht="12.75">
      <c r="A161" s="14">
        <v>422</v>
      </c>
      <c r="B161" s="15" t="s">
        <v>22</v>
      </c>
      <c r="C161" s="110">
        <f>C162+C163+C164+C165</f>
        <v>23226.49147255956</v>
      </c>
      <c r="D161" s="110">
        <f>D162+D163+D164+D165</f>
        <v>0</v>
      </c>
      <c r="E161" s="110">
        <f>E162+E163+E164+E165</f>
        <v>0</v>
      </c>
      <c r="F161" s="110">
        <f>F162+F163+F164+F165</f>
        <v>0</v>
      </c>
      <c r="G161" s="110">
        <f>G162+G163+G164+G165</f>
        <v>0</v>
      </c>
    </row>
    <row r="162" spans="1:7" ht="12.75">
      <c r="A162" s="16">
        <v>4221</v>
      </c>
      <c r="B162" s="17" t="s">
        <v>53</v>
      </c>
      <c r="C162" s="114">
        <f>175000/7.5345</f>
        <v>23226.49147255956</v>
      </c>
      <c r="D162" s="114">
        <v>0</v>
      </c>
      <c r="E162" s="114">
        <v>0</v>
      </c>
      <c r="F162" s="114">
        <v>0</v>
      </c>
      <c r="G162" s="114">
        <v>0</v>
      </c>
    </row>
    <row r="163" spans="1:7" ht="12.75">
      <c r="A163" s="16">
        <v>4223</v>
      </c>
      <c r="B163" s="17" t="s">
        <v>60</v>
      </c>
      <c r="C163" s="114">
        <v>0</v>
      </c>
      <c r="D163" s="114">
        <v>0</v>
      </c>
      <c r="E163" s="114">
        <v>0</v>
      </c>
      <c r="F163" s="114">
        <v>0</v>
      </c>
      <c r="G163" s="114">
        <v>0</v>
      </c>
    </row>
    <row r="164" spans="1:7" ht="12.75">
      <c r="A164" s="16">
        <v>4226</v>
      </c>
      <c r="B164" s="17" t="s">
        <v>73</v>
      </c>
      <c r="C164" s="114">
        <v>0</v>
      </c>
      <c r="D164" s="114">
        <v>0</v>
      </c>
      <c r="E164" s="114">
        <v>0</v>
      </c>
      <c r="F164" s="114">
        <v>0</v>
      </c>
      <c r="G164" s="114">
        <v>0</v>
      </c>
    </row>
    <row r="165" spans="1:7" ht="25.5">
      <c r="A165" s="16">
        <v>4227</v>
      </c>
      <c r="B165" s="17" t="s">
        <v>54</v>
      </c>
      <c r="C165" s="114">
        <v>0</v>
      </c>
      <c r="D165" s="114">
        <v>0</v>
      </c>
      <c r="E165" s="114">
        <v>0</v>
      </c>
      <c r="F165" s="114">
        <v>0</v>
      </c>
      <c r="G165" s="114">
        <v>0</v>
      </c>
    </row>
    <row r="166" spans="1:7" ht="28.5" customHeight="1">
      <c r="A166" s="84" t="s">
        <v>170</v>
      </c>
      <c r="B166" s="98" t="s">
        <v>171</v>
      </c>
      <c r="C166" s="121">
        <f aca="true" t="shared" si="18" ref="C166:C171">C167</f>
        <v>0</v>
      </c>
      <c r="D166" s="116">
        <f aca="true" t="shared" si="19" ref="D166:G171">D167</f>
        <v>0</v>
      </c>
      <c r="E166" s="116">
        <f t="shared" si="19"/>
        <v>0</v>
      </c>
      <c r="F166" s="116">
        <f t="shared" si="19"/>
        <v>0</v>
      </c>
      <c r="G166" s="116">
        <f t="shared" si="19"/>
        <v>0</v>
      </c>
    </row>
    <row r="167" spans="1:7" ht="24" customHeight="1">
      <c r="A167" s="96" t="s">
        <v>155</v>
      </c>
      <c r="B167" s="99" t="s">
        <v>171</v>
      </c>
      <c r="C167" s="120">
        <f t="shared" si="18"/>
        <v>0</v>
      </c>
      <c r="D167" s="120">
        <f t="shared" si="19"/>
        <v>0</v>
      </c>
      <c r="E167" s="120">
        <f t="shared" si="19"/>
        <v>0</v>
      </c>
      <c r="F167" s="120">
        <f t="shared" si="19"/>
        <v>0</v>
      </c>
      <c r="G167" s="120">
        <f t="shared" si="19"/>
        <v>0</v>
      </c>
    </row>
    <row r="168" spans="1:7" ht="15.75" customHeight="1">
      <c r="A168" s="135" t="s">
        <v>187</v>
      </c>
      <c r="B168" s="140" t="s">
        <v>104</v>
      </c>
      <c r="C168" s="127">
        <f t="shared" si="18"/>
        <v>0</v>
      </c>
      <c r="D168" s="127">
        <f t="shared" si="19"/>
        <v>0</v>
      </c>
      <c r="E168" s="127">
        <f t="shared" si="19"/>
        <v>0</v>
      </c>
      <c r="F168" s="127">
        <f t="shared" si="19"/>
        <v>0</v>
      </c>
      <c r="G168" s="127">
        <f t="shared" si="19"/>
        <v>0</v>
      </c>
    </row>
    <row r="169" spans="1:7" ht="12.75">
      <c r="A169" s="97">
        <v>3</v>
      </c>
      <c r="B169" s="19" t="s">
        <v>10</v>
      </c>
      <c r="C169" s="118">
        <f t="shared" si="18"/>
        <v>0</v>
      </c>
      <c r="D169" s="118">
        <f t="shared" si="19"/>
        <v>0</v>
      </c>
      <c r="E169" s="118">
        <f t="shared" si="19"/>
        <v>0</v>
      </c>
      <c r="F169" s="118">
        <f t="shared" si="19"/>
        <v>0</v>
      </c>
      <c r="G169" s="118">
        <f t="shared" si="19"/>
        <v>0</v>
      </c>
    </row>
    <row r="170" spans="1:7" ht="12.75">
      <c r="A170" s="20">
        <v>32</v>
      </c>
      <c r="B170" s="21" t="s">
        <v>15</v>
      </c>
      <c r="C170" s="119">
        <f t="shared" si="18"/>
        <v>0</v>
      </c>
      <c r="D170" s="119">
        <f t="shared" si="19"/>
        <v>0</v>
      </c>
      <c r="E170" s="119">
        <f t="shared" si="19"/>
        <v>0</v>
      </c>
      <c r="F170" s="119">
        <f t="shared" si="19"/>
        <v>0</v>
      </c>
      <c r="G170" s="119">
        <f t="shared" si="19"/>
        <v>0</v>
      </c>
    </row>
    <row r="171" spans="1:7" ht="12.75">
      <c r="A171" s="22">
        <v>323</v>
      </c>
      <c r="B171" s="23" t="s">
        <v>18</v>
      </c>
      <c r="C171" s="110">
        <f t="shared" si="18"/>
        <v>0</v>
      </c>
      <c r="D171" s="110">
        <f t="shared" si="19"/>
        <v>0</v>
      </c>
      <c r="E171" s="110">
        <f t="shared" si="19"/>
        <v>0</v>
      </c>
      <c r="F171" s="110">
        <f t="shared" si="19"/>
        <v>0</v>
      </c>
      <c r="G171" s="110">
        <f t="shared" si="19"/>
        <v>0</v>
      </c>
    </row>
    <row r="172" spans="1:7" ht="18" customHeight="1">
      <c r="A172" s="16">
        <v>3232</v>
      </c>
      <c r="B172" s="17" t="s">
        <v>44</v>
      </c>
      <c r="C172" s="114">
        <v>0</v>
      </c>
      <c r="D172" s="114">
        <v>0</v>
      </c>
      <c r="E172" s="114">
        <v>0</v>
      </c>
      <c r="F172" s="114">
        <v>0</v>
      </c>
      <c r="G172" s="114">
        <v>0</v>
      </c>
    </row>
    <row r="173" spans="1:7" ht="31.5" customHeight="1">
      <c r="A173" s="84" t="s">
        <v>172</v>
      </c>
      <c r="B173" s="98" t="s">
        <v>173</v>
      </c>
      <c r="C173" s="121">
        <f>C174</f>
        <v>614024.8802176653</v>
      </c>
      <c r="D173" s="121">
        <f aca="true" t="shared" si="20" ref="D173:G174">D174</f>
        <v>636464.6671059792</v>
      </c>
      <c r="E173" s="121">
        <f t="shared" si="20"/>
        <v>634202.6661682926</v>
      </c>
      <c r="F173" s="121">
        <f t="shared" si="20"/>
        <v>631548.2100000001</v>
      </c>
      <c r="G173" s="121">
        <f t="shared" si="20"/>
        <v>631548.2100000001</v>
      </c>
    </row>
    <row r="174" spans="1:7" ht="30" customHeight="1">
      <c r="A174" s="84" t="s">
        <v>174</v>
      </c>
      <c r="B174" s="98" t="s">
        <v>175</v>
      </c>
      <c r="C174" s="121">
        <f>C175</f>
        <v>614024.8802176653</v>
      </c>
      <c r="D174" s="121">
        <f t="shared" si="20"/>
        <v>636464.6671059792</v>
      </c>
      <c r="E174" s="121">
        <f t="shared" si="20"/>
        <v>634202.6661682926</v>
      </c>
      <c r="F174" s="121">
        <f t="shared" si="20"/>
        <v>631548.2100000001</v>
      </c>
      <c r="G174" s="121">
        <f t="shared" si="20"/>
        <v>631548.2100000001</v>
      </c>
    </row>
    <row r="175" spans="1:7" ht="33" customHeight="1">
      <c r="A175" s="84" t="s">
        <v>139</v>
      </c>
      <c r="B175" s="98" t="s">
        <v>175</v>
      </c>
      <c r="C175" s="116">
        <f>C177+C206+C221+C228+C252+C291+C317+C327</f>
        <v>614024.8802176653</v>
      </c>
      <c r="D175" s="116">
        <f>D176+D206+D221+D228+D252+D291+D317+D327</f>
        <v>636464.6671059792</v>
      </c>
      <c r="E175" s="116">
        <f>E178+E206+E221+E228+E252+E291+E317+E327</f>
        <v>634202.6661682926</v>
      </c>
      <c r="F175" s="116">
        <f aca="true" t="shared" si="21" ref="F175:G177">F176</f>
        <v>631548.2100000001</v>
      </c>
      <c r="G175" s="116">
        <f t="shared" si="21"/>
        <v>631548.2100000001</v>
      </c>
    </row>
    <row r="176" spans="1:7" ht="12.75">
      <c r="A176" s="90" t="s">
        <v>155</v>
      </c>
      <c r="B176" s="90" t="s">
        <v>106</v>
      </c>
      <c r="C176" s="125"/>
      <c r="D176" s="125">
        <f>D177</f>
        <v>11209.768398699316</v>
      </c>
      <c r="E176" s="125">
        <v>0</v>
      </c>
      <c r="F176" s="125">
        <f t="shared" si="21"/>
        <v>631548.2100000001</v>
      </c>
      <c r="G176" s="125">
        <f t="shared" si="21"/>
        <v>631548.2100000001</v>
      </c>
    </row>
    <row r="177" spans="1:7" ht="12.75">
      <c r="A177" s="135" t="s">
        <v>225</v>
      </c>
      <c r="B177" s="141" t="s">
        <v>224</v>
      </c>
      <c r="C177" s="124">
        <f>C178</f>
        <v>3474.910080297299</v>
      </c>
      <c r="D177" s="124">
        <f>D178</f>
        <v>11209.768398699316</v>
      </c>
      <c r="E177" s="124">
        <f>E178</f>
        <v>2654.456168292521</v>
      </c>
      <c r="F177" s="124">
        <f t="shared" si="21"/>
        <v>631548.2100000001</v>
      </c>
      <c r="G177" s="124">
        <f t="shared" si="21"/>
        <v>631548.2100000001</v>
      </c>
    </row>
    <row r="178" spans="1:7" ht="12.75">
      <c r="A178" s="92">
        <v>3</v>
      </c>
      <c r="B178" s="11" t="s">
        <v>10</v>
      </c>
      <c r="C178" s="118">
        <f>C179</f>
        <v>3474.910080297299</v>
      </c>
      <c r="D178" s="118">
        <f>D179</f>
        <v>11209.768398699316</v>
      </c>
      <c r="E178" s="118">
        <f>E179</f>
        <v>2654.456168292521</v>
      </c>
      <c r="F178" s="118">
        <f>F206+F221+F228+F252+F291+F317+F327</f>
        <v>631548.2100000001</v>
      </c>
      <c r="G178" s="118">
        <f>G206+G221+G228+G252+G291+G317+G327</f>
        <v>631548.2100000001</v>
      </c>
    </row>
    <row r="179" spans="1:7" ht="12.75">
      <c r="A179" s="12">
        <v>32</v>
      </c>
      <c r="B179" s="13" t="s">
        <v>15</v>
      </c>
      <c r="C179" s="119">
        <f>C180+C184+C190+C200</f>
        <v>3474.910080297299</v>
      </c>
      <c r="D179" s="119">
        <f>D180+D184+D190+D200</f>
        <v>11209.768398699316</v>
      </c>
      <c r="E179" s="119">
        <f>E180+E184+E190+E200</f>
        <v>2654.456168292521</v>
      </c>
      <c r="F179" s="119">
        <f>F180+F184+F190+F200</f>
        <v>0</v>
      </c>
      <c r="G179" s="119">
        <f>G180+G184+G190+G200</f>
        <v>0</v>
      </c>
    </row>
    <row r="180" spans="1:7" ht="12.75">
      <c r="A180" s="14">
        <v>321</v>
      </c>
      <c r="B180" s="15" t="s">
        <v>16</v>
      </c>
      <c r="C180" s="110">
        <f>SUM(C181:C183)</f>
        <v>2072.3737474284953</v>
      </c>
      <c r="D180" s="110">
        <f>SUM(D181:D183)</f>
        <v>11209.768398699316</v>
      </c>
      <c r="E180" s="110">
        <f>SUM(E181:E183)</f>
        <v>0</v>
      </c>
      <c r="F180" s="110">
        <f>SUM(F181:F183)</f>
        <v>0</v>
      </c>
      <c r="G180" s="110">
        <f>SUM(G181:G183)</f>
        <v>0</v>
      </c>
    </row>
    <row r="181" spans="1:7" ht="12.75">
      <c r="A181" s="16">
        <v>3211</v>
      </c>
      <c r="B181" s="17" t="s">
        <v>33</v>
      </c>
      <c r="C181" s="114">
        <f>200/7.5345</f>
        <v>26.54456168292521</v>
      </c>
      <c r="D181" s="114">
        <v>0</v>
      </c>
      <c r="E181" s="114">
        <v>0</v>
      </c>
      <c r="F181" s="114">
        <v>0</v>
      </c>
      <c r="G181" s="114">
        <v>0</v>
      </c>
    </row>
    <row r="182" spans="1:7" ht="12.75">
      <c r="A182" s="16">
        <v>3213</v>
      </c>
      <c r="B182" s="17" t="s">
        <v>35</v>
      </c>
      <c r="C182" s="114">
        <f>15414.3/7.5345</f>
        <v>2045.8291857455702</v>
      </c>
      <c r="D182" s="114">
        <f>84460/7.5345</f>
        <v>11209.768398699316</v>
      </c>
      <c r="E182" s="114">
        <v>0</v>
      </c>
      <c r="F182" s="114">
        <v>0</v>
      </c>
      <c r="G182" s="114">
        <v>0</v>
      </c>
    </row>
    <row r="183" spans="1:7" ht="12.75">
      <c r="A183" s="16">
        <v>3214</v>
      </c>
      <c r="B183" s="17" t="s">
        <v>36</v>
      </c>
      <c r="C183" s="114">
        <v>0</v>
      </c>
      <c r="D183" s="114">
        <v>0</v>
      </c>
      <c r="E183" s="114">
        <v>0</v>
      </c>
      <c r="F183" s="114">
        <v>0</v>
      </c>
      <c r="G183" s="114">
        <v>0</v>
      </c>
    </row>
    <row r="184" spans="1:7" ht="12.75">
      <c r="A184" s="14">
        <v>322</v>
      </c>
      <c r="B184" s="15" t="s">
        <v>17</v>
      </c>
      <c r="C184" s="110">
        <f>SUM(C185:C189)</f>
        <v>0</v>
      </c>
      <c r="D184" s="110">
        <f>SUM(D185:D189)</f>
        <v>0</v>
      </c>
      <c r="E184" s="110">
        <f>SUM(E185:E189)</f>
        <v>0</v>
      </c>
      <c r="F184" s="110">
        <f>SUM(F185:F189)</f>
        <v>0</v>
      </c>
      <c r="G184" s="110">
        <f>SUM(G185:G189)</f>
        <v>0</v>
      </c>
    </row>
    <row r="185" spans="1:7" ht="12.75">
      <c r="A185" s="16">
        <v>3221</v>
      </c>
      <c r="B185" s="17" t="s">
        <v>37</v>
      </c>
      <c r="C185" s="114">
        <v>0</v>
      </c>
      <c r="D185" s="114">
        <v>0</v>
      </c>
      <c r="E185" s="114">
        <v>0</v>
      </c>
      <c r="F185" s="114">
        <v>0</v>
      </c>
      <c r="G185" s="114">
        <v>0</v>
      </c>
    </row>
    <row r="186" spans="1:7" ht="12.75">
      <c r="A186" s="16">
        <v>3223</v>
      </c>
      <c r="B186" s="17" t="s">
        <v>39</v>
      </c>
      <c r="C186" s="114">
        <v>0</v>
      </c>
      <c r="D186" s="114">
        <v>0</v>
      </c>
      <c r="E186" s="114">
        <v>0</v>
      </c>
      <c r="F186" s="114">
        <v>0</v>
      </c>
      <c r="G186" s="114">
        <v>0</v>
      </c>
    </row>
    <row r="187" spans="1:7" ht="12.75">
      <c r="A187" s="16">
        <v>3224</v>
      </c>
      <c r="B187" s="17" t="s">
        <v>40</v>
      </c>
      <c r="C187" s="114">
        <v>0</v>
      </c>
      <c r="D187" s="114">
        <v>0</v>
      </c>
      <c r="E187" s="114">
        <v>0</v>
      </c>
      <c r="F187" s="114">
        <v>0</v>
      </c>
      <c r="G187" s="114">
        <v>0</v>
      </c>
    </row>
    <row r="188" spans="1:7" ht="12.75">
      <c r="A188" s="16">
        <v>3225</v>
      </c>
      <c r="B188" s="17" t="s">
        <v>41</v>
      </c>
      <c r="C188" s="114">
        <v>0</v>
      </c>
      <c r="D188" s="114">
        <v>0</v>
      </c>
      <c r="E188" s="114">
        <v>0</v>
      </c>
      <c r="F188" s="114">
        <v>0</v>
      </c>
      <c r="G188" s="114">
        <v>0</v>
      </c>
    </row>
    <row r="189" spans="1:7" ht="24.75" customHeight="1">
      <c r="A189" s="16">
        <v>3227</v>
      </c>
      <c r="B189" s="17" t="s">
        <v>42</v>
      </c>
      <c r="C189" s="114">
        <v>0</v>
      </c>
      <c r="D189" s="114">
        <v>0</v>
      </c>
      <c r="E189" s="114">
        <v>0</v>
      </c>
      <c r="F189" s="114">
        <v>0</v>
      </c>
      <c r="G189" s="114">
        <v>0</v>
      </c>
    </row>
    <row r="190" spans="1:7" ht="12.75">
      <c r="A190" s="14">
        <v>323</v>
      </c>
      <c r="B190" s="15" t="s">
        <v>18</v>
      </c>
      <c r="C190" s="110">
        <f>SUM(C191:C199)</f>
        <v>1110.2979627048908</v>
      </c>
      <c r="D190" s="110">
        <f>SUM(D191:D199)</f>
        <v>0</v>
      </c>
      <c r="E190" s="110">
        <f>SUM(E191:E199)</f>
        <v>0</v>
      </c>
      <c r="F190" s="110">
        <f>SUM(F191:F199)</f>
        <v>0</v>
      </c>
      <c r="G190" s="110">
        <f>SUM(G191:G199)</f>
        <v>0</v>
      </c>
    </row>
    <row r="191" spans="1:7" ht="12.75">
      <c r="A191" s="16">
        <v>3231</v>
      </c>
      <c r="B191" s="17" t="s">
        <v>43</v>
      </c>
      <c r="C191" s="114">
        <v>0</v>
      </c>
      <c r="D191" s="114">
        <v>0</v>
      </c>
      <c r="E191" s="114">
        <v>0</v>
      </c>
      <c r="F191" s="114">
        <v>0</v>
      </c>
      <c r="G191" s="114">
        <v>0</v>
      </c>
    </row>
    <row r="192" spans="1:7" ht="17.25" customHeight="1">
      <c r="A192" s="16">
        <v>3232</v>
      </c>
      <c r="B192" s="17" t="s">
        <v>44</v>
      </c>
      <c r="C192" s="114">
        <f>8365.54/7.5345</f>
        <v>1110.2979627048908</v>
      </c>
      <c r="D192" s="114">
        <v>0</v>
      </c>
      <c r="E192" s="114">
        <v>0</v>
      </c>
      <c r="F192" s="114">
        <v>0</v>
      </c>
      <c r="G192" s="114">
        <v>0</v>
      </c>
    </row>
    <row r="193" spans="1:7" ht="12.75">
      <c r="A193" s="16">
        <v>3233</v>
      </c>
      <c r="B193" s="17" t="s">
        <v>57</v>
      </c>
      <c r="C193" s="114">
        <v>0</v>
      </c>
      <c r="D193" s="114">
        <v>0</v>
      </c>
      <c r="E193" s="114">
        <v>0</v>
      </c>
      <c r="F193" s="114">
        <v>0</v>
      </c>
      <c r="G193" s="114">
        <v>0</v>
      </c>
    </row>
    <row r="194" spans="1:7" ht="12.75">
      <c r="A194" s="16">
        <v>3234</v>
      </c>
      <c r="B194" s="17" t="s">
        <v>45</v>
      </c>
      <c r="C194" s="114">
        <v>0</v>
      </c>
      <c r="D194" s="114">
        <v>0</v>
      </c>
      <c r="E194" s="114">
        <v>0</v>
      </c>
      <c r="F194" s="114">
        <v>0</v>
      </c>
      <c r="G194" s="114">
        <v>0</v>
      </c>
    </row>
    <row r="195" spans="1:7" ht="12.75">
      <c r="A195" s="16">
        <v>3235</v>
      </c>
      <c r="B195" s="17" t="s">
        <v>58</v>
      </c>
      <c r="C195" s="114">
        <v>0</v>
      </c>
      <c r="D195" s="114">
        <v>0</v>
      </c>
      <c r="E195" s="114">
        <v>0</v>
      </c>
      <c r="F195" s="114">
        <v>0</v>
      </c>
      <c r="G195" s="114">
        <v>0</v>
      </c>
    </row>
    <row r="196" spans="1:7" ht="12.75">
      <c r="A196" s="16">
        <v>3236</v>
      </c>
      <c r="B196" s="17" t="s">
        <v>46</v>
      </c>
      <c r="C196" s="114">
        <v>0</v>
      </c>
      <c r="D196" s="114">
        <v>0</v>
      </c>
      <c r="E196" s="114">
        <v>0</v>
      </c>
      <c r="F196" s="114">
        <v>0</v>
      </c>
      <c r="G196" s="114">
        <v>0</v>
      </c>
    </row>
    <row r="197" spans="1:7" ht="18.75" customHeight="1">
      <c r="A197" s="16">
        <v>3237</v>
      </c>
      <c r="B197" s="17" t="s">
        <v>47</v>
      </c>
      <c r="C197" s="114">
        <v>0</v>
      </c>
      <c r="D197" s="114">
        <v>0</v>
      </c>
      <c r="E197" s="114">
        <v>0</v>
      </c>
      <c r="F197" s="114">
        <v>0</v>
      </c>
      <c r="G197" s="114">
        <v>0</v>
      </c>
    </row>
    <row r="198" spans="1:7" ht="12.75">
      <c r="A198" s="16">
        <v>3238</v>
      </c>
      <c r="B198" s="17" t="s">
        <v>48</v>
      </c>
      <c r="C198" s="114">
        <v>0</v>
      </c>
      <c r="D198" s="114">
        <v>0</v>
      </c>
      <c r="E198" s="114">
        <v>0</v>
      </c>
      <c r="F198" s="114">
        <v>0</v>
      </c>
      <c r="G198" s="114">
        <v>0</v>
      </c>
    </row>
    <row r="199" spans="1:7" ht="12.75">
      <c r="A199" s="16">
        <v>3239</v>
      </c>
      <c r="B199" s="17" t="s">
        <v>49</v>
      </c>
      <c r="C199" s="114">
        <v>0</v>
      </c>
      <c r="D199" s="114">
        <v>0</v>
      </c>
      <c r="E199" s="114">
        <v>0</v>
      </c>
      <c r="F199" s="114">
        <v>0</v>
      </c>
      <c r="G199" s="114">
        <v>0</v>
      </c>
    </row>
    <row r="200" spans="1:7" ht="25.5">
      <c r="A200" s="14">
        <v>329</v>
      </c>
      <c r="B200" s="15" t="s">
        <v>19</v>
      </c>
      <c r="C200" s="110">
        <f>SUM(C202:C205)</f>
        <v>292.23837016391263</v>
      </c>
      <c r="D200" s="110">
        <f>D201+D205</f>
        <v>0</v>
      </c>
      <c r="E200" s="110">
        <f>SUM(E202:E205)</f>
        <v>2654.456168292521</v>
      </c>
      <c r="F200" s="110">
        <f>SUM(F202:F205)</f>
        <v>0</v>
      </c>
      <c r="G200" s="110">
        <f>SUM(G202:G205)</f>
        <v>0</v>
      </c>
    </row>
    <row r="201" spans="1:7" ht="12.75">
      <c r="A201" s="16">
        <v>3292</v>
      </c>
      <c r="B201" s="17" t="s">
        <v>218</v>
      </c>
      <c r="C201" s="114">
        <v>0</v>
      </c>
      <c r="D201" s="114">
        <v>0</v>
      </c>
      <c r="E201" s="110">
        <v>0</v>
      </c>
      <c r="F201" s="110">
        <v>0</v>
      </c>
      <c r="G201" s="110">
        <v>0</v>
      </c>
    </row>
    <row r="202" spans="1:7" ht="12.75">
      <c r="A202" s="16">
        <v>3293</v>
      </c>
      <c r="B202" s="17" t="s">
        <v>50</v>
      </c>
      <c r="C202" s="114">
        <v>0</v>
      </c>
      <c r="D202" s="114">
        <v>0</v>
      </c>
      <c r="E202" s="114">
        <v>0</v>
      </c>
      <c r="F202" s="114">
        <v>0</v>
      </c>
      <c r="G202" s="114">
        <v>0</v>
      </c>
    </row>
    <row r="203" spans="1:7" ht="12.75">
      <c r="A203" s="16">
        <v>3294</v>
      </c>
      <c r="B203" s="17" t="s">
        <v>67</v>
      </c>
      <c r="C203" s="114">
        <v>0</v>
      </c>
      <c r="D203" s="114">
        <v>0</v>
      </c>
      <c r="E203" s="114">
        <v>0</v>
      </c>
      <c r="F203" s="114">
        <v>0</v>
      </c>
      <c r="G203" s="114">
        <v>0</v>
      </c>
    </row>
    <row r="204" spans="1:7" ht="12.75">
      <c r="A204" s="16">
        <v>3295</v>
      </c>
      <c r="B204" s="17" t="s">
        <v>69</v>
      </c>
      <c r="C204" s="114">
        <v>0</v>
      </c>
      <c r="D204" s="114">
        <v>0</v>
      </c>
      <c r="E204" s="114">
        <v>0</v>
      </c>
      <c r="F204" s="114">
        <v>0</v>
      </c>
      <c r="G204" s="114">
        <v>0</v>
      </c>
    </row>
    <row r="205" spans="1:7" ht="26.25" customHeight="1">
      <c r="A205" s="16">
        <v>3299</v>
      </c>
      <c r="B205" s="17" t="s">
        <v>19</v>
      </c>
      <c r="C205" s="114">
        <f>2201.87/7.5345</f>
        <v>292.23837016391263</v>
      </c>
      <c r="D205" s="114">
        <v>0</v>
      </c>
      <c r="E205" s="114">
        <f>20000/7.5345</f>
        <v>2654.456168292521</v>
      </c>
      <c r="F205" s="114">
        <v>0</v>
      </c>
      <c r="G205" s="114">
        <v>0</v>
      </c>
    </row>
    <row r="206" spans="1:7" ht="14.25" customHeight="1">
      <c r="A206" s="135" t="s">
        <v>176</v>
      </c>
      <c r="B206" s="141" t="s">
        <v>124</v>
      </c>
      <c r="C206" s="124">
        <f aca="true" t="shared" si="22" ref="C206:G207">C207</f>
        <v>9315.884265711062</v>
      </c>
      <c r="D206" s="124">
        <f t="shared" si="22"/>
        <v>6636.140420731302</v>
      </c>
      <c r="E206" s="124">
        <f t="shared" si="22"/>
        <v>7366.120000000001</v>
      </c>
      <c r="F206" s="124">
        <f t="shared" si="22"/>
        <v>7366.120000000001</v>
      </c>
      <c r="G206" s="124">
        <f t="shared" si="22"/>
        <v>7366.120000000001</v>
      </c>
    </row>
    <row r="207" spans="1:7" ht="14.25" customHeight="1">
      <c r="A207" s="92">
        <v>3</v>
      </c>
      <c r="B207" s="11" t="s">
        <v>10</v>
      </c>
      <c r="C207" s="118">
        <f t="shared" si="22"/>
        <v>9315.884265711062</v>
      </c>
      <c r="D207" s="118">
        <f t="shared" si="22"/>
        <v>6636.140420731302</v>
      </c>
      <c r="E207" s="118">
        <f t="shared" si="22"/>
        <v>7366.120000000001</v>
      </c>
      <c r="F207" s="118">
        <f t="shared" si="22"/>
        <v>7366.120000000001</v>
      </c>
      <c r="G207" s="118">
        <f t="shared" si="22"/>
        <v>7366.120000000001</v>
      </c>
    </row>
    <row r="208" spans="1:7" ht="14.25" customHeight="1">
      <c r="A208" s="12">
        <v>32</v>
      </c>
      <c r="B208" s="13" t="s">
        <v>15</v>
      </c>
      <c r="C208" s="119">
        <f>C209+C211+C215+C218</f>
        <v>9315.884265711062</v>
      </c>
      <c r="D208" s="119">
        <f>D218</f>
        <v>6636.140420731302</v>
      </c>
      <c r="E208" s="119">
        <f>E218</f>
        <v>7366.120000000001</v>
      </c>
      <c r="F208" s="119">
        <f>E208</f>
        <v>7366.120000000001</v>
      </c>
      <c r="G208" s="119">
        <f>F208</f>
        <v>7366.120000000001</v>
      </c>
    </row>
    <row r="209" spans="1:7" ht="14.25" customHeight="1">
      <c r="A209" s="14">
        <v>321</v>
      </c>
      <c r="B209" s="15" t="s">
        <v>16</v>
      </c>
      <c r="C209" s="110">
        <f>C210</f>
        <v>30.19709337049572</v>
      </c>
      <c r="D209" s="110">
        <f>SUM(D213:D214)</f>
        <v>0</v>
      </c>
      <c r="E209" s="110">
        <f>SUM(E213:E214)</f>
        <v>0</v>
      </c>
      <c r="F209" s="110">
        <f>SUM(F213:F214)</f>
        <v>0</v>
      </c>
      <c r="G209" s="110">
        <f>SUM(G213:G214)</f>
        <v>0</v>
      </c>
    </row>
    <row r="210" spans="1:7" ht="14.25" customHeight="1">
      <c r="A210" s="16">
        <v>3211</v>
      </c>
      <c r="B210" s="17" t="s">
        <v>33</v>
      </c>
      <c r="C210" s="114">
        <f>227.52/7.5345</f>
        <v>30.19709337049572</v>
      </c>
      <c r="D210" s="114">
        <v>0</v>
      </c>
      <c r="E210" s="114">
        <v>0</v>
      </c>
      <c r="F210" s="114">
        <v>0</v>
      </c>
      <c r="G210" s="114">
        <v>0</v>
      </c>
    </row>
    <row r="211" spans="1:7" ht="14.25" customHeight="1">
      <c r="A211" s="14">
        <v>322</v>
      </c>
      <c r="B211" s="15" t="s">
        <v>17</v>
      </c>
      <c r="C211" s="110">
        <f>C212+C213+C214</f>
        <v>7706.378658172406</v>
      </c>
      <c r="D211" s="110">
        <v>0</v>
      </c>
      <c r="E211" s="110">
        <f>E212</f>
        <v>0</v>
      </c>
      <c r="F211" s="110">
        <v>0</v>
      </c>
      <c r="G211" s="110">
        <v>0</v>
      </c>
    </row>
    <row r="212" spans="1:7" ht="14.25" customHeight="1">
      <c r="A212" s="16">
        <v>3221</v>
      </c>
      <c r="B212" s="17" t="s">
        <v>227</v>
      </c>
      <c r="C212" s="114">
        <f>57405.07/7.5345</f>
        <v>7618.962107638197</v>
      </c>
      <c r="D212" s="114">
        <v>0</v>
      </c>
      <c r="E212" s="114">
        <v>0</v>
      </c>
      <c r="F212" s="114">
        <v>0</v>
      </c>
      <c r="G212" s="114">
        <v>0</v>
      </c>
    </row>
    <row r="213" spans="1:7" ht="28.5" customHeight="1">
      <c r="A213" s="16">
        <v>3224</v>
      </c>
      <c r="B213" s="17" t="s">
        <v>220</v>
      </c>
      <c r="C213" s="114">
        <f>489.4/7.5345</f>
        <v>64.95454243811798</v>
      </c>
      <c r="D213" s="114">
        <v>0</v>
      </c>
      <c r="E213" s="114">
        <v>0</v>
      </c>
      <c r="F213" s="114">
        <v>0</v>
      </c>
      <c r="G213" s="114">
        <v>0</v>
      </c>
    </row>
    <row r="214" spans="1:7" ht="14.25" customHeight="1">
      <c r="A214" s="16">
        <v>3225</v>
      </c>
      <c r="B214" s="17" t="s">
        <v>41</v>
      </c>
      <c r="C214" s="114">
        <f>169.24/7.5345</f>
        <v>22.462008096091314</v>
      </c>
      <c r="D214" s="114">
        <v>0</v>
      </c>
      <c r="E214" s="114">
        <v>0</v>
      </c>
      <c r="F214" s="114">
        <v>0</v>
      </c>
      <c r="G214" s="114">
        <v>0</v>
      </c>
    </row>
    <row r="215" spans="1:7" ht="14.25" customHeight="1">
      <c r="A215" s="159">
        <v>323</v>
      </c>
      <c r="B215" s="15" t="s">
        <v>18</v>
      </c>
      <c r="C215" s="110">
        <f>C216+C217</f>
        <v>559.0948304466123</v>
      </c>
      <c r="D215" s="110">
        <v>0</v>
      </c>
      <c r="E215" s="110">
        <f>E216</f>
        <v>0</v>
      </c>
      <c r="F215" s="110">
        <v>0</v>
      </c>
      <c r="G215" s="110">
        <v>0</v>
      </c>
    </row>
    <row r="216" spans="1:7" ht="14.25" customHeight="1">
      <c r="A216" s="158">
        <v>3232</v>
      </c>
      <c r="B216" s="17" t="s">
        <v>44</v>
      </c>
      <c r="C216" s="114">
        <f>662.5/7.5345</f>
        <v>87.92886057468975</v>
      </c>
      <c r="D216" s="114">
        <v>0</v>
      </c>
      <c r="E216" s="114">
        <v>0</v>
      </c>
      <c r="F216" s="114">
        <v>0</v>
      </c>
      <c r="G216" s="114">
        <v>0</v>
      </c>
    </row>
    <row r="217" spans="1:7" ht="14.25" customHeight="1">
      <c r="A217" s="158">
        <v>3239</v>
      </c>
      <c r="B217" s="17" t="s">
        <v>49</v>
      </c>
      <c r="C217" s="114">
        <f>3550/7.5345</f>
        <v>471.16596987192247</v>
      </c>
      <c r="D217" s="114">
        <v>0</v>
      </c>
      <c r="E217" s="114">
        <v>0</v>
      </c>
      <c r="F217" s="114">
        <v>0</v>
      </c>
      <c r="G217" s="114">
        <v>0</v>
      </c>
    </row>
    <row r="218" spans="1:7" ht="24" customHeight="1">
      <c r="A218" s="159">
        <v>329</v>
      </c>
      <c r="B218" s="15" t="s">
        <v>19</v>
      </c>
      <c r="C218" s="110">
        <f>C219+C220</f>
        <v>1020.2136837215476</v>
      </c>
      <c r="D218" s="110">
        <f>D219+D220</f>
        <v>6636.140420731302</v>
      </c>
      <c r="E218" s="110">
        <f>E219+E220</f>
        <v>7366.120000000001</v>
      </c>
      <c r="F218" s="110">
        <v>0</v>
      </c>
      <c r="G218" s="110">
        <v>0</v>
      </c>
    </row>
    <row r="219" spans="1:7" ht="14.25" customHeight="1">
      <c r="A219" s="158">
        <v>3292</v>
      </c>
      <c r="B219" s="17" t="s">
        <v>185</v>
      </c>
      <c r="C219" s="114">
        <f>4806/7.5345</f>
        <v>637.8658172406928</v>
      </c>
      <c r="D219" s="114">
        <f>5500/7.5345</f>
        <v>729.9754462804433</v>
      </c>
      <c r="E219" s="114">
        <v>729.98</v>
      </c>
      <c r="F219" s="114">
        <v>0</v>
      </c>
      <c r="G219" s="114">
        <v>0</v>
      </c>
    </row>
    <row r="220" spans="1:7" ht="14.25" customHeight="1">
      <c r="A220" s="158">
        <v>3299</v>
      </c>
      <c r="B220" s="17" t="s">
        <v>19</v>
      </c>
      <c r="C220" s="114">
        <f>2880.8/7.5345</f>
        <v>382.34786648085475</v>
      </c>
      <c r="D220" s="114">
        <f>44500/7.5345</f>
        <v>5906.164974450859</v>
      </c>
      <c r="E220" s="114">
        <v>6636.14</v>
      </c>
      <c r="F220" s="114">
        <v>0</v>
      </c>
      <c r="G220" s="114"/>
    </row>
    <row r="221" spans="1:7" ht="14.25" customHeight="1">
      <c r="A221" s="135" t="s">
        <v>177</v>
      </c>
      <c r="B221" s="141" t="s">
        <v>121</v>
      </c>
      <c r="C221" s="124">
        <f aca="true" t="shared" si="23" ref="C221:G222">C222</f>
        <v>1939.8765677881743</v>
      </c>
      <c r="D221" s="124">
        <f t="shared" si="23"/>
        <v>6636.140420731303</v>
      </c>
      <c r="E221" s="124">
        <f t="shared" si="23"/>
        <v>6636.14</v>
      </c>
      <c r="F221" s="124">
        <f t="shared" si="23"/>
        <v>6636.14</v>
      </c>
      <c r="G221" s="124">
        <f t="shared" si="23"/>
        <v>6636.14</v>
      </c>
    </row>
    <row r="222" spans="1:7" ht="14.25" customHeight="1">
      <c r="A222" s="92">
        <v>3</v>
      </c>
      <c r="B222" s="11" t="s">
        <v>10</v>
      </c>
      <c r="C222" s="118">
        <f t="shared" si="23"/>
        <v>1939.8765677881743</v>
      </c>
      <c r="D222" s="118">
        <f t="shared" si="23"/>
        <v>6636.140420731303</v>
      </c>
      <c r="E222" s="118">
        <f t="shared" si="23"/>
        <v>6636.14</v>
      </c>
      <c r="F222" s="118">
        <f t="shared" si="23"/>
        <v>6636.14</v>
      </c>
      <c r="G222" s="118">
        <f t="shared" si="23"/>
        <v>6636.14</v>
      </c>
    </row>
    <row r="223" spans="1:7" ht="14.25" customHeight="1">
      <c r="A223" s="12">
        <v>32</v>
      </c>
      <c r="B223" s="13" t="s">
        <v>15</v>
      </c>
      <c r="C223" s="119">
        <f>C224+C226</f>
        <v>1939.8765677881743</v>
      </c>
      <c r="D223" s="119">
        <f>D226</f>
        <v>6636.140420731303</v>
      </c>
      <c r="E223" s="119">
        <f>E226</f>
        <v>6636.14</v>
      </c>
      <c r="F223" s="119">
        <f>E223</f>
        <v>6636.14</v>
      </c>
      <c r="G223" s="119">
        <f>F223</f>
        <v>6636.14</v>
      </c>
    </row>
    <row r="224" spans="1:7" ht="14.25" customHeight="1">
      <c r="A224" s="12">
        <v>322</v>
      </c>
      <c r="B224" s="13" t="s">
        <v>226</v>
      </c>
      <c r="C224" s="119">
        <f>C225</f>
        <v>199.08421262193906</v>
      </c>
      <c r="D224" s="119">
        <v>0</v>
      </c>
      <c r="E224" s="119">
        <f>E225</f>
        <v>0</v>
      </c>
      <c r="F224" s="119">
        <v>0</v>
      </c>
      <c r="G224" s="119">
        <v>0</v>
      </c>
    </row>
    <row r="225" spans="1:7" ht="14.25" customHeight="1">
      <c r="A225" s="180">
        <v>3221</v>
      </c>
      <c r="B225" s="164" t="s">
        <v>227</v>
      </c>
      <c r="C225" s="162">
        <f>1500/7.5345</f>
        <v>199.08421262193906</v>
      </c>
      <c r="D225" s="162">
        <v>0</v>
      </c>
      <c r="E225" s="162">
        <v>0</v>
      </c>
      <c r="F225" s="162">
        <v>0</v>
      </c>
      <c r="G225" s="162">
        <v>0</v>
      </c>
    </row>
    <row r="226" spans="1:7" ht="22.5" customHeight="1">
      <c r="A226" s="14">
        <v>329</v>
      </c>
      <c r="B226" s="15" t="s">
        <v>19</v>
      </c>
      <c r="C226" s="110">
        <f>SUM(C227:C227)</f>
        <v>1740.7923551662352</v>
      </c>
      <c r="D226" s="110">
        <f>SUM(D227:D227)</f>
        <v>6636.140420731303</v>
      </c>
      <c r="E226" s="110">
        <f>SUM(E227:E227)</f>
        <v>6636.14</v>
      </c>
      <c r="F226" s="110">
        <f>SUM(F227:F227)</f>
        <v>0</v>
      </c>
      <c r="G226" s="110">
        <f>SUM(G227:G227)</f>
        <v>0</v>
      </c>
    </row>
    <row r="227" spans="1:7" ht="14.25" customHeight="1">
      <c r="A227" s="16">
        <v>3299</v>
      </c>
      <c r="B227" s="17" t="s">
        <v>19</v>
      </c>
      <c r="C227" s="114">
        <f>13116/7.5345</f>
        <v>1740.7923551662352</v>
      </c>
      <c r="D227" s="114">
        <f>50000/7.5345</f>
        <v>6636.140420731303</v>
      </c>
      <c r="E227" s="114">
        <v>6636.14</v>
      </c>
      <c r="F227" s="114">
        <v>0</v>
      </c>
      <c r="G227" s="114">
        <v>0</v>
      </c>
    </row>
    <row r="228" spans="1:7" ht="26.25" customHeight="1">
      <c r="A228" s="85" t="s">
        <v>156</v>
      </c>
      <c r="B228" s="91" t="s">
        <v>178</v>
      </c>
      <c r="C228" s="120">
        <f>C229</f>
        <v>563671.4553055943</v>
      </c>
      <c r="D228" s="120">
        <f aca="true" t="shared" si="24" ref="D228:G229">D229</f>
        <v>569644.0374278319</v>
      </c>
      <c r="E228" s="120">
        <f>E229</f>
        <v>578658.17</v>
      </c>
      <c r="F228" s="120">
        <f t="shared" si="24"/>
        <v>578658.17</v>
      </c>
      <c r="G228" s="120">
        <f t="shared" si="24"/>
        <v>578658.17</v>
      </c>
    </row>
    <row r="229" spans="1:7" ht="13.5" customHeight="1">
      <c r="A229" s="135" t="s">
        <v>177</v>
      </c>
      <c r="B229" s="141" t="s">
        <v>121</v>
      </c>
      <c r="C229" s="127">
        <f>C230</f>
        <v>563671.4553055943</v>
      </c>
      <c r="D229" s="127">
        <f t="shared" si="24"/>
        <v>569644.0374278319</v>
      </c>
      <c r="E229" s="127">
        <f t="shared" si="24"/>
        <v>578658.17</v>
      </c>
      <c r="F229" s="127">
        <f t="shared" si="24"/>
        <v>578658.17</v>
      </c>
      <c r="G229" s="127">
        <f t="shared" si="24"/>
        <v>578658.17</v>
      </c>
    </row>
    <row r="230" spans="1:7" ht="12.75" customHeight="1">
      <c r="A230" s="92">
        <v>3</v>
      </c>
      <c r="B230" s="18" t="s">
        <v>10</v>
      </c>
      <c r="C230" s="118">
        <f>C231+C241+C249</f>
        <v>563671.4553055943</v>
      </c>
      <c r="D230" s="118">
        <f>D231+D241</f>
        <v>569644.0374278319</v>
      </c>
      <c r="E230" s="118">
        <f>E231+E241</f>
        <v>578658.17</v>
      </c>
      <c r="F230" s="118">
        <f>F231+F241</f>
        <v>578658.17</v>
      </c>
      <c r="G230" s="118">
        <f>G231+G241</f>
        <v>578658.17</v>
      </c>
    </row>
    <row r="231" spans="1:7" ht="13.5" customHeight="1">
      <c r="A231" s="12">
        <v>31</v>
      </c>
      <c r="B231" s="13" t="s">
        <v>11</v>
      </c>
      <c r="C231" s="119">
        <f>C232+C236+C238</f>
        <v>533129.6356758908</v>
      </c>
      <c r="D231" s="119">
        <f>D232+D236+D238</f>
        <v>533477.0721348464</v>
      </c>
      <c r="E231" s="119">
        <f>E232+E236+E238</f>
        <v>550454.5700000001</v>
      </c>
      <c r="F231" s="119">
        <f>E231</f>
        <v>550454.5700000001</v>
      </c>
      <c r="G231" s="119">
        <f>F231</f>
        <v>550454.5700000001</v>
      </c>
    </row>
    <row r="232" spans="1:7" ht="25.5" customHeight="1">
      <c r="A232" s="14">
        <v>311</v>
      </c>
      <c r="B232" s="15" t="s">
        <v>12</v>
      </c>
      <c r="C232" s="110">
        <f>C233+C234+C235</f>
        <v>441371.4287610325</v>
      </c>
      <c r="D232" s="110">
        <f>D233+D234+D235</f>
        <v>440002.6544561683</v>
      </c>
      <c r="E232" s="110">
        <f>E233+E234+E235</f>
        <v>449930.31</v>
      </c>
      <c r="F232" s="110">
        <f>F233+F234+F235</f>
        <v>0</v>
      </c>
      <c r="G232" s="110">
        <f>G233+G234+G235</f>
        <v>0</v>
      </c>
    </row>
    <row r="233" spans="1:7" ht="20.25" customHeight="1">
      <c r="A233" s="16">
        <v>3111</v>
      </c>
      <c r="B233" s="17" t="s">
        <v>29</v>
      </c>
      <c r="C233" s="114">
        <f>3225780.51/7.5345</f>
        <v>428134.6486163647</v>
      </c>
      <c r="D233" s="114">
        <f>3315200/7.5345</f>
        <v>440002.6544561683</v>
      </c>
      <c r="E233" s="114">
        <v>435330.81</v>
      </c>
      <c r="F233" s="114">
        <v>0</v>
      </c>
      <c r="G233" s="114">
        <v>0</v>
      </c>
    </row>
    <row r="234" spans="1:7" ht="16.5" customHeight="1">
      <c r="A234" s="16">
        <v>3113</v>
      </c>
      <c r="B234" s="17" t="s">
        <v>30</v>
      </c>
      <c r="C234" s="114">
        <f>71369.96/7.5345</f>
        <v>9472.421527639524</v>
      </c>
      <c r="D234" s="114">
        <v>0</v>
      </c>
      <c r="E234" s="114">
        <v>10617.82</v>
      </c>
      <c r="F234" s="114">
        <v>0</v>
      </c>
      <c r="G234" s="114">
        <v>0</v>
      </c>
    </row>
    <row r="235" spans="1:7" ht="12.75" customHeight="1">
      <c r="A235" s="16">
        <v>3114</v>
      </c>
      <c r="B235" s="17" t="s">
        <v>31</v>
      </c>
      <c r="C235" s="114">
        <f>28362.56/7.5345</f>
        <v>3764.358617028336</v>
      </c>
      <c r="D235" s="114">
        <v>0</v>
      </c>
      <c r="E235" s="114">
        <v>3981.68</v>
      </c>
      <c r="F235" s="114">
        <v>0</v>
      </c>
      <c r="G235" s="114">
        <v>0</v>
      </c>
    </row>
    <row r="236" spans="1:7" ht="12.75" customHeight="1">
      <c r="A236" s="14">
        <v>312</v>
      </c>
      <c r="B236" s="15" t="s">
        <v>13</v>
      </c>
      <c r="C236" s="110">
        <f>C237</f>
        <v>21081.801048510184</v>
      </c>
      <c r="D236" s="110">
        <f>D237</f>
        <v>17917.579135974516</v>
      </c>
      <c r="E236" s="110">
        <f>E237</f>
        <v>22562.88</v>
      </c>
      <c r="F236" s="110">
        <f>F237</f>
        <v>0</v>
      </c>
      <c r="G236" s="110">
        <f>G237</f>
        <v>0</v>
      </c>
    </row>
    <row r="237" spans="1:7" ht="12.75" customHeight="1">
      <c r="A237" s="16">
        <v>3121</v>
      </c>
      <c r="B237" s="17" t="s">
        <v>13</v>
      </c>
      <c r="C237" s="114">
        <f>158840.83/7.5345</f>
        <v>21081.801048510184</v>
      </c>
      <c r="D237" s="114">
        <f>135000/7.5345</f>
        <v>17917.579135974516</v>
      </c>
      <c r="E237" s="114">
        <v>22562.88</v>
      </c>
      <c r="F237" s="114">
        <v>0</v>
      </c>
      <c r="G237" s="114">
        <v>0</v>
      </c>
    </row>
    <row r="238" spans="1:7" ht="12.75" customHeight="1">
      <c r="A238" s="14">
        <v>313</v>
      </c>
      <c r="B238" s="15" t="s">
        <v>14</v>
      </c>
      <c r="C238" s="110">
        <f>C239+C240</f>
        <v>70676.40586634813</v>
      </c>
      <c r="D238" s="110">
        <f>D239+D240</f>
        <v>75556.83854270355</v>
      </c>
      <c r="E238" s="110">
        <f>E239+E240</f>
        <v>77961.38</v>
      </c>
      <c r="F238" s="110">
        <f>F239+F240</f>
        <v>0</v>
      </c>
      <c r="G238" s="110">
        <v>0</v>
      </c>
    </row>
    <row r="239" spans="1:7" ht="15.75" customHeight="1">
      <c r="A239" s="16">
        <v>3132</v>
      </c>
      <c r="B239" s="17" t="s">
        <v>32</v>
      </c>
      <c r="C239" s="114">
        <f>532382.4/7.5345</f>
        <v>70659.28727851881</v>
      </c>
      <c r="D239" s="114">
        <f>569283/7.5345</f>
        <v>75556.83854270355</v>
      </c>
      <c r="E239" s="114">
        <v>77961.38</v>
      </c>
      <c r="F239" s="114">
        <v>0</v>
      </c>
      <c r="G239" s="114">
        <v>0</v>
      </c>
    </row>
    <row r="240" spans="1:7" ht="23.25" customHeight="1">
      <c r="A240" s="16">
        <v>3133</v>
      </c>
      <c r="B240" s="17" t="s">
        <v>77</v>
      </c>
      <c r="C240" s="114">
        <f>128.98/7.5345</f>
        <v>17.118587829318464</v>
      </c>
      <c r="D240" s="114">
        <v>0</v>
      </c>
      <c r="E240" s="114">
        <v>0</v>
      </c>
      <c r="F240" s="114">
        <v>0</v>
      </c>
      <c r="G240" s="114">
        <v>0</v>
      </c>
    </row>
    <row r="241" spans="1:7" ht="12.75" customHeight="1">
      <c r="A241" s="12">
        <v>32</v>
      </c>
      <c r="B241" s="13" t="s">
        <v>15</v>
      </c>
      <c r="C241" s="119">
        <f>C242+C244+C246</f>
        <v>29215.90284690424</v>
      </c>
      <c r="D241" s="119">
        <f>D242+D246</f>
        <v>36166.965292985595</v>
      </c>
      <c r="E241" s="119">
        <f>E242+E246</f>
        <v>28203.600000000002</v>
      </c>
      <c r="F241" s="119">
        <f>E241</f>
        <v>28203.600000000002</v>
      </c>
      <c r="G241" s="119">
        <f>F241</f>
        <v>28203.600000000002</v>
      </c>
    </row>
    <row r="242" spans="1:7" ht="12.75" customHeight="1">
      <c r="A242" s="14">
        <v>321</v>
      </c>
      <c r="B242" s="15" t="s">
        <v>16</v>
      </c>
      <c r="C242" s="110">
        <f>C243</f>
        <v>25116.96595659964</v>
      </c>
      <c r="D242" s="110">
        <f>D243</f>
        <v>34507.93018780277</v>
      </c>
      <c r="E242" s="110">
        <f>E243</f>
        <v>26544.56</v>
      </c>
      <c r="F242" s="110">
        <f>F243</f>
        <v>0</v>
      </c>
      <c r="G242" s="110">
        <f>G243</f>
        <v>0</v>
      </c>
    </row>
    <row r="243" spans="1:7" ht="12.75" customHeight="1">
      <c r="A243" s="16">
        <v>3212</v>
      </c>
      <c r="B243" s="17" t="s">
        <v>34</v>
      </c>
      <c r="C243" s="114">
        <f>189243.78/7.5345</f>
        <v>25116.96595659964</v>
      </c>
      <c r="D243" s="114">
        <f>260000/7.5345</f>
        <v>34507.93018780277</v>
      </c>
      <c r="E243" s="114">
        <v>26544.56</v>
      </c>
      <c r="F243" s="114">
        <v>0</v>
      </c>
      <c r="G243" s="114">
        <v>0</v>
      </c>
    </row>
    <row r="244" spans="1:7" ht="12.75" customHeight="1">
      <c r="A244" s="14">
        <v>323</v>
      </c>
      <c r="B244" s="15" t="s">
        <v>18</v>
      </c>
      <c r="C244" s="110">
        <f>C245</f>
        <v>531.180569380848</v>
      </c>
      <c r="D244" s="110">
        <v>0</v>
      </c>
      <c r="E244" s="110">
        <v>0</v>
      </c>
      <c r="F244" s="110">
        <v>0</v>
      </c>
      <c r="G244" s="110">
        <v>0</v>
      </c>
    </row>
    <row r="245" spans="1:7" ht="12.75" customHeight="1">
      <c r="A245" s="16">
        <v>3236</v>
      </c>
      <c r="B245" s="17" t="s">
        <v>46</v>
      </c>
      <c r="C245" s="114">
        <f>4002.18/7.5345</f>
        <v>531.180569380848</v>
      </c>
      <c r="D245" s="114">
        <v>0</v>
      </c>
      <c r="E245" s="114">
        <v>0</v>
      </c>
      <c r="F245" s="114">
        <v>0</v>
      </c>
      <c r="G245" s="114">
        <v>0</v>
      </c>
    </row>
    <row r="246" spans="1:7" ht="27" customHeight="1">
      <c r="A246" s="14">
        <v>329</v>
      </c>
      <c r="B246" s="15" t="s">
        <v>19</v>
      </c>
      <c r="C246" s="110">
        <f>C247+C248</f>
        <v>3567.7563209237505</v>
      </c>
      <c r="D246" s="110">
        <f>D247</f>
        <v>1659.0351051828256</v>
      </c>
      <c r="E246" s="110">
        <f>E247</f>
        <v>1659.04</v>
      </c>
      <c r="F246" s="110">
        <f>F247</f>
        <v>0</v>
      </c>
      <c r="G246" s="110">
        <f>G247</f>
        <v>0</v>
      </c>
    </row>
    <row r="247" spans="1:7" ht="15" customHeight="1">
      <c r="A247" s="16">
        <v>3295</v>
      </c>
      <c r="B247" s="17" t="s">
        <v>51</v>
      </c>
      <c r="C247" s="114">
        <f>10162.5/7.5345</f>
        <v>1348.7955405136372</v>
      </c>
      <c r="D247" s="114">
        <f>12500/7.5345</f>
        <v>1659.0351051828256</v>
      </c>
      <c r="E247" s="114">
        <v>1659.04</v>
      </c>
      <c r="F247" s="114">
        <v>0</v>
      </c>
      <c r="G247" s="114">
        <v>0</v>
      </c>
    </row>
    <row r="248" spans="1:7" ht="15" customHeight="1">
      <c r="A248" s="16">
        <v>3296</v>
      </c>
      <c r="B248" s="17" t="s">
        <v>66</v>
      </c>
      <c r="C248" s="114">
        <f>16718.76/7.5345</f>
        <v>2218.9607804101133</v>
      </c>
      <c r="D248" s="114">
        <v>0</v>
      </c>
      <c r="E248" s="114">
        <v>0</v>
      </c>
      <c r="F248" s="114">
        <v>0</v>
      </c>
      <c r="G248" s="114">
        <v>0</v>
      </c>
    </row>
    <row r="249" spans="1:7" ht="15" customHeight="1">
      <c r="A249" s="12">
        <v>34</v>
      </c>
      <c r="B249" s="13" t="s">
        <v>20</v>
      </c>
      <c r="C249" s="119">
        <f>C250</f>
        <v>1325.9167827991241</v>
      </c>
      <c r="D249" s="119">
        <v>0</v>
      </c>
      <c r="E249" s="119">
        <v>0</v>
      </c>
      <c r="F249" s="119">
        <v>0</v>
      </c>
      <c r="G249" s="119">
        <v>0</v>
      </c>
    </row>
    <row r="250" spans="1:7" ht="15" customHeight="1">
      <c r="A250" s="14">
        <v>343</v>
      </c>
      <c r="B250" s="15" t="s">
        <v>21</v>
      </c>
      <c r="C250" s="110">
        <f>C251</f>
        <v>1325.9167827991241</v>
      </c>
      <c r="D250" s="110">
        <v>0</v>
      </c>
      <c r="E250" s="110">
        <v>0</v>
      </c>
      <c r="F250" s="110">
        <v>0</v>
      </c>
      <c r="G250" s="110">
        <v>0</v>
      </c>
    </row>
    <row r="251" spans="1:7" ht="15" customHeight="1">
      <c r="A251" s="16">
        <v>3433</v>
      </c>
      <c r="B251" s="17" t="s">
        <v>219</v>
      </c>
      <c r="C251" s="114">
        <f>9990.12/7.5345</f>
        <v>1325.9167827991241</v>
      </c>
      <c r="D251" s="114">
        <v>0</v>
      </c>
      <c r="E251" s="114">
        <v>0</v>
      </c>
      <c r="F251" s="114">
        <v>0</v>
      </c>
      <c r="G251" s="114">
        <v>0</v>
      </c>
    </row>
    <row r="252" spans="1:7" ht="19.5" customHeight="1">
      <c r="A252" s="100" t="s">
        <v>163</v>
      </c>
      <c r="B252" s="91" t="s">
        <v>179</v>
      </c>
      <c r="C252" s="123">
        <f>C253+C286</f>
        <v>20608.372154754794</v>
      </c>
      <c r="D252" s="123">
        <f>D253+D286</f>
        <v>27871.78976707147</v>
      </c>
      <c r="E252" s="123">
        <f>E253+E286</f>
        <v>27871.79</v>
      </c>
      <c r="F252" s="123">
        <f>F253+F286</f>
        <v>27871.79</v>
      </c>
      <c r="G252" s="123">
        <f>G253+G286</f>
        <v>27871.79</v>
      </c>
    </row>
    <row r="253" spans="1:7" ht="16.5" customHeight="1">
      <c r="A253" s="135" t="s">
        <v>176</v>
      </c>
      <c r="B253" s="142" t="s">
        <v>124</v>
      </c>
      <c r="C253" s="122">
        <f>C254</f>
        <v>10751.314619417346</v>
      </c>
      <c r="D253" s="122">
        <f>D254</f>
        <v>14599.508925608865</v>
      </c>
      <c r="E253" s="122">
        <f>E254</f>
        <v>14599.51</v>
      </c>
      <c r="F253" s="122">
        <f>F254</f>
        <v>14599.51</v>
      </c>
      <c r="G253" s="122">
        <f>G254</f>
        <v>14599.51</v>
      </c>
    </row>
    <row r="254" spans="1:7" ht="15" customHeight="1">
      <c r="A254" s="95">
        <v>3</v>
      </c>
      <c r="B254" s="19" t="s">
        <v>10</v>
      </c>
      <c r="C254" s="118">
        <f>C255+C282</f>
        <v>10751.314619417346</v>
      </c>
      <c r="D254" s="118">
        <f>D255+D282</f>
        <v>14599.508925608865</v>
      </c>
      <c r="E254" s="118">
        <f>E255+E282</f>
        <v>14599.51</v>
      </c>
      <c r="F254" s="118">
        <f>F255+F282</f>
        <v>14599.51</v>
      </c>
      <c r="G254" s="118">
        <f>G255+G282</f>
        <v>14599.51</v>
      </c>
    </row>
    <row r="255" spans="1:7" ht="15" customHeight="1">
      <c r="A255" s="20">
        <v>32</v>
      </c>
      <c r="B255" s="21" t="s">
        <v>15</v>
      </c>
      <c r="C255" s="119">
        <f>C256+C260+C267+C276</f>
        <v>10751.314619417346</v>
      </c>
      <c r="D255" s="119">
        <f>D256+D260+D267+D276</f>
        <v>14599.508925608865</v>
      </c>
      <c r="E255" s="119">
        <f>E256+E260+E267+E276</f>
        <v>14599.51</v>
      </c>
      <c r="F255" s="119">
        <f>E255</f>
        <v>14599.51</v>
      </c>
      <c r="G255" s="119">
        <f>F255</f>
        <v>14599.51</v>
      </c>
    </row>
    <row r="256" spans="1:7" ht="15" customHeight="1">
      <c r="A256" s="22">
        <v>321</v>
      </c>
      <c r="B256" s="23" t="s">
        <v>16</v>
      </c>
      <c r="C256" s="110">
        <f>C257+C258+C259</f>
        <v>0</v>
      </c>
      <c r="D256" s="110">
        <f>D257+D258+D259</f>
        <v>0</v>
      </c>
      <c r="E256" s="110">
        <f>E257+E258+E259</f>
        <v>0</v>
      </c>
      <c r="F256" s="110">
        <f>F257+F258+F259</f>
        <v>0</v>
      </c>
      <c r="G256" s="110">
        <f>G257+G258+G259</f>
        <v>0</v>
      </c>
    </row>
    <row r="257" spans="1:7" ht="15" customHeight="1">
      <c r="A257" s="25">
        <v>3211</v>
      </c>
      <c r="B257" s="24" t="s">
        <v>33</v>
      </c>
      <c r="C257" s="114">
        <v>0</v>
      </c>
      <c r="D257" s="114">
        <v>0</v>
      </c>
      <c r="E257" s="114">
        <v>0</v>
      </c>
      <c r="F257" s="114">
        <v>0</v>
      </c>
      <c r="G257" s="114">
        <v>0</v>
      </c>
    </row>
    <row r="258" spans="1:7" ht="15" customHeight="1">
      <c r="A258" s="25">
        <v>3213</v>
      </c>
      <c r="B258" s="24" t="s">
        <v>35</v>
      </c>
      <c r="C258" s="114">
        <v>0</v>
      </c>
      <c r="D258" s="114">
        <v>0</v>
      </c>
      <c r="E258" s="114">
        <v>0</v>
      </c>
      <c r="F258" s="114">
        <v>0</v>
      </c>
      <c r="G258" s="114">
        <v>0</v>
      </c>
    </row>
    <row r="259" spans="1:7" ht="15" customHeight="1">
      <c r="A259" s="25">
        <v>3214</v>
      </c>
      <c r="B259" s="24" t="s">
        <v>36</v>
      </c>
      <c r="C259" s="114">
        <v>0</v>
      </c>
      <c r="D259" s="114">
        <v>0</v>
      </c>
      <c r="E259" s="114">
        <v>0</v>
      </c>
      <c r="F259" s="114">
        <v>0</v>
      </c>
      <c r="G259" s="114">
        <v>0</v>
      </c>
    </row>
    <row r="260" spans="1:7" ht="15" customHeight="1">
      <c r="A260" s="22">
        <v>322</v>
      </c>
      <c r="B260" s="23" t="s">
        <v>17</v>
      </c>
      <c r="C260" s="110">
        <f>SUM(C261:C266)</f>
        <v>10751.314619417346</v>
      </c>
      <c r="D260" s="110">
        <f>SUM(D261:D266)</f>
        <v>14599.508925608865</v>
      </c>
      <c r="E260" s="110">
        <f>SUM(E261:E266)</f>
        <v>14599.51</v>
      </c>
      <c r="F260" s="110">
        <f>SUM(F261:F266)</f>
        <v>0</v>
      </c>
      <c r="G260" s="110">
        <f>SUM(G261:G266)</f>
        <v>0</v>
      </c>
    </row>
    <row r="261" spans="1:7" ht="15" customHeight="1">
      <c r="A261" s="16">
        <v>3221</v>
      </c>
      <c r="B261" s="17" t="s">
        <v>37</v>
      </c>
      <c r="C261" s="114">
        <f>431.02/7.5345</f>
        <v>57.206184882872115</v>
      </c>
      <c r="D261" s="114">
        <v>0</v>
      </c>
      <c r="E261" s="114">
        <v>0</v>
      </c>
      <c r="F261" s="114">
        <v>0</v>
      </c>
      <c r="G261" s="114">
        <v>0</v>
      </c>
    </row>
    <row r="262" spans="1:7" ht="15" customHeight="1">
      <c r="A262" s="16">
        <v>3222</v>
      </c>
      <c r="B262" s="17" t="s">
        <v>38</v>
      </c>
      <c r="C262" s="114">
        <f>80574.76/7.5345</f>
        <v>10694.108434534473</v>
      </c>
      <c r="D262" s="114">
        <f>110000/7.5345</f>
        <v>14599.508925608865</v>
      </c>
      <c r="E262" s="114">
        <v>14599.51</v>
      </c>
      <c r="F262" s="114">
        <v>0</v>
      </c>
      <c r="G262" s="114">
        <v>0</v>
      </c>
    </row>
    <row r="263" spans="1:7" ht="15" customHeight="1">
      <c r="A263" s="16">
        <v>3223</v>
      </c>
      <c r="B263" s="17" t="s">
        <v>39</v>
      </c>
      <c r="C263" s="114">
        <v>0</v>
      </c>
      <c r="D263" s="114">
        <v>0</v>
      </c>
      <c r="E263" s="114">
        <v>0</v>
      </c>
      <c r="F263" s="114">
        <v>0</v>
      </c>
      <c r="G263" s="114">
        <v>0</v>
      </c>
    </row>
    <row r="264" spans="1:7" ht="24.75" customHeight="1">
      <c r="A264" s="16">
        <v>3224</v>
      </c>
      <c r="B264" s="17" t="s">
        <v>40</v>
      </c>
      <c r="C264" s="114">
        <v>0</v>
      </c>
      <c r="D264" s="114">
        <v>0</v>
      </c>
      <c r="E264" s="114">
        <v>0</v>
      </c>
      <c r="F264" s="114">
        <v>0</v>
      </c>
      <c r="G264" s="114">
        <v>0</v>
      </c>
    </row>
    <row r="265" spans="1:7" ht="15" customHeight="1">
      <c r="A265" s="16">
        <v>3225</v>
      </c>
      <c r="B265" s="17" t="s">
        <v>41</v>
      </c>
      <c r="C265" s="114">
        <v>0</v>
      </c>
      <c r="D265" s="114">
        <v>0</v>
      </c>
      <c r="E265" s="114">
        <v>0</v>
      </c>
      <c r="F265" s="114">
        <v>0</v>
      </c>
      <c r="G265" s="114">
        <v>0</v>
      </c>
    </row>
    <row r="266" spans="1:7" ht="25.5" customHeight="1">
      <c r="A266" s="16">
        <v>3227</v>
      </c>
      <c r="B266" s="17" t="s">
        <v>42</v>
      </c>
      <c r="C266" s="114">
        <v>0</v>
      </c>
      <c r="D266" s="114">
        <v>0</v>
      </c>
      <c r="E266" s="114">
        <v>0</v>
      </c>
      <c r="F266" s="114">
        <v>0</v>
      </c>
      <c r="G266" s="114">
        <v>0</v>
      </c>
    </row>
    <row r="267" spans="1:7" ht="15" customHeight="1">
      <c r="A267" s="22">
        <v>323</v>
      </c>
      <c r="B267" s="23" t="s">
        <v>18</v>
      </c>
      <c r="C267" s="110">
        <f>SUM(C268:C275)</f>
        <v>0</v>
      </c>
      <c r="D267" s="110">
        <v>0</v>
      </c>
      <c r="E267" s="110">
        <f>SUM(E268:E275)</f>
        <v>0</v>
      </c>
      <c r="F267" s="110">
        <f>SUM(F268:F275)</f>
        <v>0</v>
      </c>
      <c r="G267" s="110">
        <f>SUM(G268:G275)</f>
        <v>0</v>
      </c>
    </row>
    <row r="268" spans="1:7" ht="15" customHeight="1">
      <c r="A268" s="25">
        <v>3231</v>
      </c>
      <c r="B268" s="24" t="s">
        <v>62</v>
      </c>
      <c r="C268" s="114">
        <v>0</v>
      </c>
      <c r="D268" s="114">
        <v>0</v>
      </c>
      <c r="E268" s="114">
        <v>0</v>
      </c>
      <c r="F268" s="114">
        <v>0</v>
      </c>
      <c r="G268" s="114">
        <v>0</v>
      </c>
    </row>
    <row r="269" spans="1:7" ht="15" customHeight="1">
      <c r="A269" s="16">
        <v>3232</v>
      </c>
      <c r="B269" s="17" t="s">
        <v>44</v>
      </c>
      <c r="C269" s="114">
        <v>0</v>
      </c>
      <c r="D269" s="114">
        <v>0</v>
      </c>
      <c r="E269" s="114">
        <v>0</v>
      </c>
      <c r="F269" s="114">
        <v>0</v>
      </c>
      <c r="G269" s="114">
        <v>0</v>
      </c>
    </row>
    <row r="270" spans="1:7" ht="15" customHeight="1">
      <c r="A270" s="16">
        <v>3234</v>
      </c>
      <c r="B270" s="17" t="s">
        <v>45</v>
      </c>
      <c r="C270" s="114">
        <v>0</v>
      </c>
      <c r="D270" s="114">
        <v>0</v>
      </c>
      <c r="E270" s="114">
        <v>0</v>
      </c>
      <c r="F270" s="114">
        <v>0</v>
      </c>
      <c r="G270" s="114">
        <v>0</v>
      </c>
    </row>
    <row r="271" spans="1:7" ht="15" customHeight="1">
      <c r="A271" s="16">
        <v>3235</v>
      </c>
      <c r="B271" s="17" t="s">
        <v>58</v>
      </c>
      <c r="C271" s="114">
        <v>0</v>
      </c>
      <c r="D271" s="114">
        <v>0</v>
      </c>
      <c r="E271" s="114">
        <v>0</v>
      </c>
      <c r="F271" s="114">
        <v>0</v>
      </c>
      <c r="G271" s="114">
        <v>0</v>
      </c>
    </row>
    <row r="272" spans="1:7" ht="15" customHeight="1">
      <c r="A272" s="16">
        <v>3236</v>
      </c>
      <c r="B272" s="17" t="s">
        <v>46</v>
      </c>
      <c r="C272" s="114">
        <v>0</v>
      </c>
      <c r="D272" s="114">
        <v>0</v>
      </c>
      <c r="E272" s="114">
        <v>0</v>
      </c>
      <c r="F272" s="114">
        <v>0</v>
      </c>
      <c r="G272" s="114">
        <v>0</v>
      </c>
    </row>
    <row r="273" spans="1:7" ht="15" customHeight="1">
      <c r="A273" s="16">
        <v>3237</v>
      </c>
      <c r="B273" s="17" t="s">
        <v>47</v>
      </c>
      <c r="C273" s="114">
        <v>0</v>
      </c>
      <c r="D273" s="114">
        <v>0</v>
      </c>
      <c r="E273" s="114">
        <v>0</v>
      </c>
      <c r="F273" s="114">
        <v>0</v>
      </c>
      <c r="G273" s="114">
        <v>0</v>
      </c>
    </row>
    <row r="274" spans="1:7" ht="15" customHeight="1">
      <c r="A274" s="16">
        <v>3238</v>
      </c>
      <c r="B274" s="17" t="s">
        <v>48</v>
      </c>
      <c r="C274" s="114">
        <v>0</v>
      </c>
      <c r="D274" s="114">
        <v>0</v>
      </c>
      <c r="E274" s="114">
        <v>0</v>
      </c>
      <c r="F274" s="114">
        <v>0</v>
      </c>
      <c r="G274" s="114">
        <v>0</v>
      </c>
    </row>
    <row r="275" spans="1:7" ht="15" customHeight="1">
      <c r="A275" s="16">
        <v>3239</v>
      </c>
      <c r="B275" s="17" t="s">
        <v>49</v>
      </c>
      <c r="C275" s="114">
        <v>0</v>
      </c>
      <c r="D275" s="114">
        <v>0</v>
      </c>
      <c r="E275" s="114">
        <v>0</v>
      </c>
      <c r="F275" s="114">
        <v>0</v>
      </c>
      <c r="G275" s="114">
        <v>0</v>
      </c>
    </row>
    <row r="276" spans="1:7" ht="23.25" customHeight="1">
      <c r="A276" s="14">
        <v>329</v>
      </c>
      <c r="B276" s="15" t="s">
        <v>63</v>
      </c>
      <c r="C276" s="110">
        <v>0</v>
      </c>
      <c r="D276" s="110">
        <f>D277+D278+D279+D280+D281</f>
        <v>0</v>
      </c>
      <c r="E276" s="110">
        <f>E277+E278+E279+E280+E281</f>
        <v>0</v>
      </c>
      <c r="F276" s="110">
        <f>F277+F278+F279+F280+F281</f>
        <v>0</v>
      </c>
      <c r="G276" s="110">
        <f>G277+G278+G279+G280+G281</f>
        <v>0</v>
      </c>
    </row>
    <row r="277" spans="1:7" ht="15" customHeight="1">
      <c r="A277" s="30">
        <v>3293</v>
      </c>
      <c r="B277" s="31" t="s">
        <v>50</v>
      </c>
      <c r="C277" s="130">
        <v>0</v>
      </c>
      <c r="D277" s="130">
        <v>0</v>
      </c>
      <c r="E277" s="130">
        <v>0</v>
      </c>
      <c r="F277" s="130">
        <v>0</v>
      </c>
      <c r="G277" s="130">
        <v>0</v>
      </c>
    </row>
    <row r="278" spans="1:7" ht="15" customHeight="1">
      <c r="A278" s="30">
        <v>3294</v>
      </c>
      <c r="B278" s="31" t="s">
        <v>67</v>
      </c>
      <c r="C278" s="130">
        <v>0</v>
      </c>
      <c r="D278" s="130">
        <v>0</v>
      </c>
      <c r="E278" s="130">
        <v>0</v>
      </c>
      <c r="F278" s="130">
        <v>0</v>
      </c>
      <c r="G278" s="130">
        <v>0</v>
      </c>
    </row>
    <row r="279" spans="1:7" ht="15" customHeight="1">
      <c r="A279" s="30">
        <v>3295</v>
      </c>
      <c r="B279" s="31" t="s">
        <v>68</v>
      </c>
      <c r="C279" s="130">
        <v>0</v>
      </c>
      <c r="D279" s="130">
        <v>0</v>
      </c>
      <c r="E279" s="130">
        <v>0</v>
      </c>
      <c r="F279" s="130">
        <v>0</v>
      </c>
      <c r="G279" s="130">
        <v>0</v>
      </c>
    </row>
    <row r="280" spans="1:7" ht="15" customHeight="1">
      <c r="A280" s="30">
        <v>3296</v>
      </c>
      <c r="B280" s="31" t="s">
        <v>66</v>
      </c>
      <c r="C280" s="130">
        <v>0</v>
      </c>
      <c r="D280" s="130">
        <v>0</v>
      </c>
      <c r="E280" s="130">
        <v>0</v>
      </c>
      <c r="F280" s="130">
        <v>0</v>
      </c>
      <c r="G280" s="130">
        <v>0</v>
      </c>
    </row>
    <row r="281" spans="1:7" ht="15" customHeight="1">
      <c r="A281" s="16">
        <v>3299</v>
      </c>
      <c r="B281" s="17" t="s">
        <v>63</v>
      </c>
      <c r="C281" s="114">
        <v>0</v>
      </c>
      <c r="D281" s="114">
        <v>0</v>
      </c>
      <c r="E281" s="114">
        <v>0</v>
      </c>
      <c r="F281" s="114">
        <v>0</v>
      </c>
      <c r="G281" s="114">
        <v>0</v>
      </c>
    </row>
    <row r="282" spans="1:7" ht="15" customHeight="1">
      <c r="A282" s="12">
        <v>34</v>
      </c>
      <c r="B282" s="13" t="s">
        <v>20</v>
      </c>
      <c r="C282" s="119">
        <f>C283</f>
        <v>0</v>
      </c>
      <c r="D282" s="119">
        <f>D283</f>
        <v>0</v>
      </c>
      <c r="E282" s="119">
        <f>E283</f>
        <v>0</v>
      </c>
      <c r="F282" s="119">
        <f>F283</f>
        <v>0</v>
      </c>
      <c r="G282" s="119">
        <f>G283</f>
        <v>0</v>
      </c>
    </row>
    <row r="283" spans="1:7" ht="15" customHeight="1">
      <c r="A283" s="14">
        <v>343</v>
      </c>
      <c r="B283" s="15" t="s">
        <v>21</v>
      </c>
      <c r="C283" s="110">
        <f>C285+C284</f>
        <v>0</v>
      </c>
      <c r="D283" s="110">
        <f>D285+D284</f>
        <v>0</v>
      </c>
      <c r="E283" s="110">
        <f>E285+E284</f>
        <v>0</v>
      </c>
      <c r="F283" s="110">
        <f>F285+F284</f>
        <v>0</v>
      </c>
      <c r="G283" s="110">
        <f>G285+G284</f>
        <v>0</v>
      </c>
    </row>
    <row r="284" spans="1:7" ht="15" customHeight="1">
      <c r="A284" s="16">
        <v>3431</v>
      </c>
      <c r="B284" s="17" t="s">
        <v>52</v>
      </c>
      <c r="C284" s="114">
        <v>0</v>
      </c>
      <c r="D284" s="114">
        <v>0</v>
      </c>
      <c r="E284" s="114">
        <v>0</v>
      </c>
      <c r="F284" s="114">
        <v>0</v>
      </c>
      <c r="G284" s="114">
        <v>0</v>
      </c>
    </row>
    <row r="285" spans="1:7" ht="12" customHeight="1">
      <c r="A285" s="16">
        <v>3433</v>
      </c>
      <c r="B285" s="17" t="s">
        <v>59</v>
      </c>
      <c r="C285" s="114">
        <v>0</v>
      </c>
      <c r="D285" s="114">
        <v>0</v>
      </c>
      <c r="E285" s="114">
        <v>0</v>
      </c>
      <c r="F285" s="114">
        <v>0</v>
      </c>
      <c r="G285" s="114">
        <v>0</v>
      </c>
    </row>
    <row r="286" spans="1:7" ht="15" customHeight="1">
      <c r="A286" s="136" t="s">
        <v>177</v>
      </c>
      <c r="B286" s="141" t="s">
        <v>121</v>
      </c>
      <c r="C286" s="122">
        <f>C287</f>
        <v>9857.057535337448</v>
      </c>
      <c r="D286" s="122">
        <f aca="true" t="shared" si="25" ref="D286:G289">D287</f>
        <v>13272.280841462605</v>
      </c>
      <c r="E286" s="122">
        <f t="shared" si="25"/>
        <v>13272.28</v>
      </c>
      <c r="F286" s="122">
        <f t="shared" si="25"/>
        <v>13272.28</v>
      </c>
      <c r="G286" s="122">
        <f t="shared" si="25"/>
        <v>13272.28</v>
      </c>
    </row>
    <row r="287" spans="1:7" ht="18" customHeight="1">
      <c r="A287" s="95">
        <v>3</v>
      </c>
      <c r="B287" s="19" t="s">
        <v>10</v>
      </c>
      <c r="C287" s="118">
        <f>C288</f>
        <v>9857.057535337448</v>
      </c>
      <c r="D287" s="118">
        <f t="shared" si="25"/>
        <v>13272.280841462605</v>
      </c>
      <c r="E287" s="118">
        <f t="shared" si="25"/>
        <v>13272.28</v>
      </c>
      <c r="F287" s="118">
        <f t="shared" si="25"/>
        <v>13272.28</v>
      </c>
      <c r="G287" s="118">
        <f>F287</f>
        <v>13272.28</v>
      </c>
    </row>
    <row r="288" spans="1:7" ht="18" customHeight="1">
      <c r="A288" s="20">
        <v>32</v>
      </c>
      <c r="B288" s="21" t="s">
        <v>15</v>
      </c>
      <c r="C288" s="119">
        <f>C289</f>
        <v>9857.057535337448</v>
      </c>
      <c r="D288" s="119">
        <f t="shared" si="25"/>
        <v>13272.280841462605</v>
      </c>
      <c r="E288" s="119">
        <f t="shared" si="25"/>
        <v>13272.28</v>
      </c>
      <c r="F288" s="119">
        <f>E288</f>
        <v>13272.28</v>
      </c>
      <c r="G288" s="119">
        <f t="shared" si="25"/>
        <v>0</v>
      </c>
    </row>
    <row r="289" spans="1:7" ht="18" customHeight="1">
      <c r="A289" s="22">
        <v>322</v>
      </c>
      <c r="B289" s="23" t="s">
        <v>17</v>
      </c>
      <c r="C289" s="110">
        <f>C290</f>
        <v>9857.057535337448</v>
      </c>
      <c r="D289" s="110">
        <f t="shared" si="25"/>
        <v>13272.280841462605</v>
      </c>
      <c r="E289" s="110">
        <f t="shared" si="25"/>
        <v>13272.28</v>
      </c>
      <c r="F289" s="110">
        <f t="shared" si="25"/>
        <v>0</v>
      </c>
      <c r="G289" s="110">
        <f t="shared" si="25"/>
        <v>0</v>
      </c>
    </row>
    <row r="290" spans="1:7" ht="18" customHeight="1">
      <c r="A290" s="16">
        <v>3222</v>
      </c>
      <c r="B290" s="17" t="s">
        <v>38</v>
      </c>
      <c r="C290" s="114">
        <f>74268/7.5345</f>
        <v>9857.057535337448</v>
      </c>
      <c r="D290" s="114">
        <f>100000/7.5345</f>
        <v>13272.280841462605</v>
      </c>
      <c r="E290" s="114">
        <v>13272.28</v>
      </c>
      <c r="F290" s="114">
        <v>0</v>
      </c>
      <c r="G290" s="114">
        <v>0</v>
      </c>
    </row>
    <row r="291" spans="1:7" ht="21" customHeight="1">
      <c r="A291" s="91" t="s">
        <v>180</v>
      </c>
      <c r="B291" s="91" t="s">
        <v>169</v>
      </c>
      <c r="C291" s="123">
        <f>C292+C302+C307</f>
        <v>1632.5542504479395</v>
      </c>
      <c r="D291" s="123">
        <f>D292</f>
        <v>729.98</v>
      </c>
      <c r="E291" s="123">
        <f>E292</f>
        <v>530.89</v>
      </c>
      <c r="F291" s="123">
        <f>F292</f>
        <v>530.89</v>
      </c>
      <c r="G291" s="123">
        <f>G292</f>
        <v>530.89</v>
      </c>
    </row>
    <row r="292" spans="1:7" ht="13.5" customHeight="1">
      <c r="A292" s="136" t="s">
        <v>222</v>
      </c>
      <c r="B292" s="141" t="s">
        <v>223</v>
      </c>
      <c r="C292" s="122">
        <f>C293</f>
        <v>620.6463600769792</v>
      </c>
      <c r="D292" s="122">
        <f aca="true" t="shared" si="26" ref="D292:G293">D293</f>
        <v>729.98</v>
      </c>
      <c r="E292" s="122">
        <f t="shared" si="26"/>
        <v>530.89</v>
      </c>
      <c r="F292" s="122">
        <f t="shared" si="26"/>
        <v>530.89</v>
      </c>
      <c r="G292" s="122">
        <f t="shared" si="26"/>
        <v>530.89</v>
      </c>
    </row>
    <row r="293" spans="1:7" ht="23.25" customHeight="1">
      <c r="A293" s="92">
        <v>4</v>
      </c>
      <c r="B293" s="18" t="s">
        <v>23</v>
      </c>
      <c r="C293" s="118">
        <f>C294</f>
        <v>620.6463600769792</v>
      </c>
      <c r="D293" s="118">
        <f t="shared" si="26"/>
        <v>729.98</v>
      </c>
      <c r="E293" s="118">
        <f t="shared" si="26"/>
        <v>530.89</v>
      </c>
      <c r="F293" s="118">
        <f t="shared" si="26"/>
        <v>530.89</v>
      </c>
      <c r="G293" s="118">
        <f>F293</f>
        <v>530.89</v>
      </c>
    </row>
    <row r="294" spans="1:7" ht="24.75" customHeight="1">
      <c r="A294" s="12">
        <v>42</v>
      </c>
      <c r="B294" s="13" t="s">
        <v>24</v>
      </c>
      <c r="C294" s="119">
        <f>C295+C300</f>
        <v>620.6463600769792</v>
      </c>
      <c r="D294" s="119">
        <f>D295+D300</f>
        <v>729.98</v>
      </c>
      <c r="E294" s="119">
        <f>E295+E300</f>
        <v>530.89</v>
      </c>
      <c r="F294" s="119">
        <f>E294</f>
        <v>530.89</v>
      </c>
      <c r="G294" s="119">
        <f>G295+G300</f>
        <v>0</v>
      </c>
    </row>
    <row r="295" spans="1:7" ht="15" customHeight="1">
      <c r="A295" s="14">
        <v>422</v>
      </c>
      <c r="B295" s="15" t="s">
        <v>22</v>
      </c>
      <c r="C295" s="110">
        <f>C296+C297+C298+C299</f>
        <v>620.6463600769792</v>
      </c>
      <c r="D295" s="110">
        <f>D296+D297+D298+D299</f>
        <v>729.98</v>
      </c>
      <c r="E295" s="110">
        <f>E296+E297+E298+E299</f>
        <v>530.89</v>
      </c>
      <c r="F295" s="110">
        <f>F296+F297+F298+F299</f>
        <v>0</v>
      </c>
      <c r="G295" s="110">
        <f>G296+G297+G298+G299</f>
        <v>0</v>
      </c>
    </row>
    <row r="296" spans="1:7" ht="15" customHeight="1">
      <c r="A296" s="16">
        <v>4221</v>
      </c>
      <c r="B296" s="17" t="s">
        <v>53</v>
      </c>
      <c r="C296" s="114">
        <f>4676.26/7.5345</f>
        <v>620.6463600769792</v>
      </c>
      <c r="D296" s="114">
        <v>729.98</v>
      </c>
      <c r="E296" s="114">
        <v>530.89</v>
      </c>
      <c r="F296" s="114">
        <v>0</v>
      </c>
      <c r="G296" s="114">
        <v>0</v>
      </c>
    </row>
    <row r="297" spans="1:7" ht="15" customHeight="1">
      <c r="A297" s="16">
        <v>4223</v>
      </c>
      <c r="B297" s="17" t="s">
        <v>60</v>
      </c>
      <c r="C297" s="114">
        <v>0</v>
      </c>
      <c r="D297" s="114">
        <v>0</v>
      </c>
      <c r="E297" s="114">
        <v>0</v>
      </c>
      <c r="F297" s="114">
        <v>0</v>
      </c>
      <c r="G297" s="114">
        <v>0</v>
      </c>
    </row>
    <row r="298" spans="1:7" ht="15" customHeight="1">
      <c r="A298" s="16">
        <v>4226</v>
      </c>
      <c r="B298" s="17" t="s">
        <v>73</v>
      </c>
      <c r="C298" s="114">
        <v>0</v>
      </c>
      <c r="D298" s="114">
        <v>0</v>
      </c>
      <c r="E298" s="114">
        <v>0</v>
      </c>
      <c r="F298" s="114">
        <v>0</v>
      </c>
      <c r="G298" s="114">
        <v>0</v>
      </c>
    </row>
    <row r="299" spans="1:7" ht="29.25" customHeight="1">
      <c r="A299" s="16">
        <v>4227</v>
      </c>
      <c r="B299" s="17" t="s">
        <v>54</v>
      </c>
      <c r="C299" s="114">
        <v>0</v>
      </c>
      <c r="D299" s="114">
        <v>0</v>
      </c>
      <c r="E299" s="114">
        <v>0</v>
      </c>
      <c r="F299" s="114">
        <v>0</v>
      </c>
      <c r="G299" s="114">
        <v>0</v>
      </c>
    </row>
    <row r="300" spans="1:7" ht="29.25" customHeight="1">
      <c r="A300" s="14">
        <v>424</v>
      </c>
      <c r="B300" s="15" t="s">
        <v>25</v>
      </c>
      <c r="C300" s="110">
        <f>C301</f>
        <v>0</v>
      </c>
      <c r="D300" s="110">
        <v>0</v>
      </c>
      <c r="E300" s="110">
        <f>E301</f>
        <v>0</v>
      </c>
      <c r="F300" s="110">
        <f>F301</f>
        <v>0</v>
      </c>
      <c r="G300" s="110">
        <f>G301</f>
        <v>0</v>
      </c>
    </row>
    <row r="301" spans="1:7" ht="15" customHeight="1">
      <c r="A301" s="16">
        <v>4241</v>
      </c>
      <c r="B301" s="17" t="s">
        <v>55</v>
      </c>
      <c r="C301" s="114">
        <v>0</v>
      </c>
      <c r="D301" s="114">
        <v>0</v>
      </c>
      <c r="E301" s="114">
        <v>0</v>
      </c>
      <c r="F301" s="114">
        <v>0</v>
      </c>
      <c r="G301" s="114">
        <v>0</v>
      </c>
    </row>
    <row r="302" spans="1:7" ht="15" customHeight="1">
      <c r="A302" s="174" t="s">
        <v>225</v>
      </c>
      <c r="B302" s="175" t="s">
        <v>224</v>
      </c>
      <c r="C302" s="176">
        <f>C303</f>
        <v>714.0805627447077</v>
      </c>
      <c r="D302" s="177">
        <v>0</v>
      </c>
      <c r="E302" s="177">
        <v>0</v>
      </c>
      <c r="F302" s="177">
        <v>0</v>
      </c>
      <c r="G302" s="177">
        <v>0</v>
      </c>
    </row>
    <row r="303" spans="1:7" ht="25.5" customHeight="1">
      <c r="A303" s="178">
        <v>4</v>
      </c>
      <c r="B303" s="18" t="s">
        <v>23</v>
      </c>
      <c r="C303" s="179">
        <f>C304</f>
        <v>714.0805627447077</v>
      </c>
      <c r="D303" s="179">
        <v>0</v>
      </c>
      <c r="E303" s="179">
        <v>0</v>
      </c>
      <c r="F303" s="179">
        <v>0</v>
      </c>
      <c r="G303" s="179">
        <v>0</v>
      </c>
    </row>
    <row r="304" spans="1:7" ht="26.25" customHeight="1">
      <c r="A304" s="159">
        <v>42</v>
      </c>
      <c r="B304" s="15" t="s">
        <v>24</v>
      </c>
      <c r="C304" s="110">
        <f>C305</f>
        <v>714.0805627447077</v>
      </c>
      <c r="D304" s="110">
        <v>0</v>
      </c>
      <c r="E304" s="110">
        <v>0</v>
      </c>
      <c r="F304" s="110">
        <v>0</v>
      </c>
      <c r="G304" s="110">
        <v>0</v>
      </c>
    </row>
    <row r="305" spans="1:7" ht="15" customHeight="1">
      <c r="A305" s="159">
        <v>422</v>
      </c>
      <c r="B305" s="15" t="s">
        <v>22</v>
      </c>
      <c r="C305" s="110">
        <f>C306</f>
        <v>714.0805627447077</v>
      </c>
      <c r="D305" s="110">
        <v>0</v>
      </c>
      <c r="E305" s="110">
        <v>0</v>
      </c>
      <c r="F305" s="110">
        <v>0</v>
      </c>
      <c r="G305" s="110">
        <v>0</v>
      </c>
    </row>
    <row r="306" spans="1:7" ht="15" customHeight="1">
      <c r="A306" s="158">
        <v>4221</v>
      </c>
      <c r="B306" s="17" t="s">
        <v>53</v>
      </c>
      <c r="C306" s="114">
        <f>5380.24/7.5345</f>
        <v>714.0805627447077</v>
      </c>
      <c r="D306" s="114">
        <v>0</v>
      </c>
      <c r="E306" s="114">
        <v>0</v>
      </c>
      <c r="F306" s="114">
        <v>0</v>
      </c>
      <c r="G306" s="114">
        <v>0</v>
      </c>
    </row>
    <row r="307" spans="1:7" ht="15" customHeight="1">
      <c r="A307" s="136" t="s">
        <v>177</v>
      </c>
      <c r="B307" s="141" t="s">
        <v>121</v>
      </c>
      <c r="C307" s="122">
        <f>C308</f>
        <v>297.82732762625255</v>
      </c>
      <c r="D307" s="122">
        <f aca="true" t="shared" si="27" ref="D307:G308">D308</f>
        <v>0</v>
      </c>
      <c r="E307" s="122">
        <f t="shared" si="27"/>
        <v>0</v>
      </c>
      <c r="F307" s="122">
        <f t="shared" si="27"/>
        <v>0</v>
      </c>
      <c r="G307" s="122">
        <f t="shared" si="27"/>
        <v>0</v>
      </c>
    </row>
    <row r="308" spans="1:7" ht="28.5" customHeight="1">
      <c r="A308" s="92">
        <v>4</v>
      </c>
      <c r="B308" s="18" t="s">
        <v>23</v>
      </c>
      <c r="C308" s="118">
        <f>C309</f>
        <v>297.82732762625255</v>
      </c>
      <c r="D308" s="118">
        <f t="shared" si="27"/>
        <v>0</v>
      </c>
      <c r="E308" s="118">
        <f t="shared" si="27"/>
        <v>0</v>
      </c>
      <c r="F308" s="118">
        <f t="shared" si="27"/>
        <v>0</v>
      </c>
      <c r="G308" s="118">
        <f t="shared" si="27"/>
        <v>0</v>
      </c>
    </row>
    <row r="309" spans="1:7" ht="23.25" customHeight="1">
      <c r="A309" s="12">
        <v>42</v>
      </c>
      <c r="B309" s="13" t="s">
        <v>24</v>
      </c>
      <c r="C309" s="119">
        <f>C310+C315</f>
        <v>297.82732762625255</v>
      </c>
      <c r="D309" s="119">
        <f>D310+D315</f>
        <v>0</v>
      </c>
      <c r="E309" s="119">
        <f>E310+E315</f>
        <v>0</v>
      </c>
      <c r="F309" s="119">
        <f>F310+F315</f>
        <v>0</v>
      </c>
      <c r="G309" s="119">
        <f>G310+G315</f>
        <v>0</v>
      </c>
    </row>
    <row r="310" spans="1:7" ht="15" customHeight="1">
      <c r="A310" s="14">
        <v>422</v>
      </c>
      <c r="B310" s="15" t="s">
        <v>22</v>
      </c>
      <c r="C310" s="110">
        <f>C311+C312+C313+C314</f>
        <v>0</v>
      </c>
      <c r="D310" s="110">
        <f>D311+D312+D313+D314</f>
        <v>0</v>
      </c>
      <c r="E310" s="110">
        <f>E311+E312+E313+E314</f>
        <v>0</v>
      </c>
      <c r="F310" s="110">
        <f>F311+F312+F313+F314</f>
        <v>0</v>
      </c>
      <c r="G310" s="110">
        <f>G311+G312+G313+G314</f>
        <v>0</v>
      </c>
    </row>
    <row r="311" spans="1:7" ht="15" customHeight="1">
      <c r="A311" s="16">
        <v>4221</v>
      </c>
      <c r="B311" s="17" t="s">
        <v>53</v>
      </c>
      <c r="C311" s="114">
        <v>0</v>
      </c>
      <c r="D311" s="114">
        <v>0</v>
      </c>
      <c r="E311" s="114">
        <v>0</v>
      </c>
      <c r="F311" s="114">
        <v>0</v>
      </c>
      <c r="G311" s="114">
        <v>0</v>
      </c>
    </row>
    <row r="312" spans="1:7" ht="15" customHeight="1">
      <c r="A312" s="16">
        <v>4223</v>
      </c>
      <c r="B312" s="17" t="s">
        <v>60</v>
      </c>
      <c r="C312" s="114">
        <v>0</v>
      </c>
      <c r="D312" s="114">
        <v>0</v>
      </c>
      <c r="E312" s="114">
        <v>0</v>
      </c>
      <c r="F312" s="114">
        <v>0</v>
      </c>
      <c r="G312" s="114">
        <v>0</v>
      </c>
    </row>
    <row r="313" spans="1:7" ht="15" customHeight="1">
      <c r="A313" s="16">
        <v>4226</v>
      </c>
      <c r="B313" s="17" t="s">
        <v>73</v>
      </c>
      <c r="C313" s="114">
        <v>0</v>
      </c>
      <c r="D313" s="114">
        <v>0</v>
      </c>
      <c r="E313" s="114">
        <v>0</v>
      </c>
      <c r="F313" s="114">
        <v>0</v>
      </c>
      <c r="G313" s="114">
        <v>0</v>
      </c>
    </row>
    <row r="314" spans="1:7" ht="15" customHeight="1">
      <c r="A314" s="16">
        <v>4227</v>
      </c>
      <c r="B314" s="17" t="s">
        <v>54</v>
      </c>
      <c r="C314" s="114">
        <v>0</v>
      </c>
      <c r="D314" s="114">
        <v>0</v>
      </c>
      <c r="E314" s="114">
        <v>0</v>
      </c>
      <c r="F314" s="114">
        <v>0</v>
      </c>
      <c r="G314" s="114">
        <v>0</v>
      </c>
    </row>
    <row r="315" spans="1:7" ht="15" customHeight="1">
      <c r="A315" s="14">
        <v>424</v>
      </c>
      <c r="B315" s="15" t="s">
        <v>25</v>
      </c>
      <c r="C315" s="110">
        <f>C316</f>
        <v>297.82732762625255</v>
      </c>
      <c r="D315" s="110">
        <f>D316</f>
        <v>0</v>
      </c>
      <c r="E315" s="110">
        <f>E316</f>
        <v>0</v>
      </c>
      <c r="F315" s="110">
        <v>0</v>
      </c>
      <c r="G315" s="110">
        <v>0</v>
      </c>
    </row>
    <row r="316" spans="1:7" ht="15" customHeight="1">
      <c r="A316" s="16">
        <v>4241</v>
      </c>
      <c r="B316" s="17" t="s">
        <v>55</v>
      </c>
      <c r="C316" s="114">
        <f>2243.98/7.5345</f>
        <v>297.82732762625255</v>
      </c>
      <c r="D316" s="114">
        <v>0</v>
      </c>
      <c r="E316" s="114">
        <v>0</v>
      </c>
      <c r="F316" s="114">
        <v>0</v>
      </c>
      <c r="G316" s="114"/>
    </row>
    <row r="317" spans="1:7" ht="24" customHeight="1">
      <c r="A317" s="91" t="s">
        <v>181</v>
      </c>
      <c r="B317" s="91" t="s">
        <v>182</v>
      </c>
      <c r="C317" s="123">
        <f>C318</f>
        <v>13020.959585904837</v>
      </c>
      <c r="D317" s="123">
        <f>D318</f>
        <v>13272.280841462605</v>
      </c>
      <c r="E317" s="123">
        <f>E318</f>
        <v>9954.21</v>
      </c>
      <c r="F317" s="123">
        <f>F318</f>
        <v>9954.21</v>
      </c>
      <c r="G317" s="123">
        <f>G318</f>
        <v>9954.21</v>
      </c>
    </row>
    <row r="318" spans="1:7" ht="15" customHeight="1">
      <c r="A318" s="136" t="s">
        <v>177</v>
      </c>
      <c r="B318" s="141" t="s">
        <v>121</v>
      </c>
      <c r="C318" s="122">
        <f>C319+C323</f>
        <v>13020.959585904837</v>
      </c>
      <c r="D318" s="122">
        <f>D319+D323</f>
        <v>13272.280841462605</v>
      </c>
      <c r="E318" s="122">
        <f>E319+E323</f>
        <v>9954.21</v>
      </c>
      <c r="F318" s="122">
        <f>F319+F323</f>
        <v>9954.21</v>
      </c>
      <c r="G318" s="122">
        <f>G319+G323</f>
        <v>9954.21</v>
      </c>
    </row>
    <row r="319" spans="1:7" ht="21.75" customHeight="1">
      <c r="A319" s="101">
        <v>3</v>
      </c>
      <c r="B319" s="32" t="s">
        <v>64</v>
      </c>
      <c r="C319" s="132">
        <f>C320</f>
        <v>9907.796137766274</v>
      </c>
      <c r="D319" s="132">
        <f aca="true" t="shared" si="28" ref="D319:G321">D320</f>
        <v>13272.280841462605</v>
      </c>
      <c r="E319" s="132">
        <f t="shared" si="28"/>
        <v>9954.21</v>
      </c>
      <c r="F319" s="132">
        <f t="shared" si="28"/>
        <v>9954.21</v>
      </c>
      <c r="G319" s="132">
        <f t="shared" si="28"/>
        <v>9954.21</v>
      </c>
    </row>
    <row r="320" spans="1:7" ht="24" customHeight="1">
      <c r="A320" s="33">
        <v>37</v>
      </c>
      <c r="B320" s="34" t="s">
        <v>72</v>
      </c>
      <c r="C320" s="112">
        <f>C321</f>
        <v>9907.796137766274</v>
      </c>
      <c r="D320" s="112">
        <f t="shared" si="28"/>
        <v>13272.280841462605</v>
      </c>
      <c r="E320" s="112">
        <f t="shared" si="28"/>
        <v>9954.21</v>
      </c>
      <c r="F320" s="112">
        <f>E320</f>
        <v>9954.21</v>
      </c>
      <c r="G320" s="112">
        <f>F320</f>
        <v>9954.21</v>
      </c>
    </row>
    <row r="321" spans="1:7" ht="25.5" customHeight="1">
      <c r="A321" s="14">
        <v>372</v>
      </c>
      <c r="B321" s="15" t="s">
        <v>70</v>
      </c>
      <c r="C321" s="110">
        <f>C322</f>
        <v>9907.796137766274</v>
      </c>
      <c r="D321" s="110">
        <f t="shared" si="28"/>
        <v>13272.280841462605</v>
      </c>
      <c r="E321" s="110">
        <f t="shared" si="28"/>
        <v>9954.21</v>
      </c>
      <c r="F321" s="110">
        <f t="shared" si="28"/>
        <v>0</v>
      </c>
      <c r="G321" s="110">
        <f t="shared" si="28"/>
        <v>0</v>
      </c>
    </row>
    <row r="322" spans="1:7" ht="24.75" customHeight="1">
      <c r="A322" s="16">
        <v>3722</v>
      </c>
      <c r="B322" s="17" t="s">
        <v>71</v>
      </c>
      <c r="C322" s="114">
        <f>74650.29/7.5345</f>
        <v>9907.796137766274</v>
      </c>
      <c r="D322" s="114">
        <f>100000/7.5345</f>
        <v>13272.280841462605</v>
      </c>
      <c r="E322" s="114">
        <v>9954.21</v>
      </c>
      <c r="F322" s="114">
        <v>0</v>
      </c>
      <c r="G322" s="114">
        <v>0</v>
      </c>
    </row>
    <row r="323" spans="1:7" ht="24.75" customHeight="1">
      <c r="A323" s="92">
        <v>4</v>
      </c>
      <c r="B323" s="18" t="s">
        <v>23</v>
      </c>
      <c r="C323" s="118">
        <f>C324</f>
        <v>3113.1634481385627</v>
      </c>
      <c r="D323" s="118">
        <f aca="true" t="shared" si="29" ref="D323:G325">D324</f>
        <v>0</v>
      </c>
      <c r="E323" s="118">
        <f t="shared" si="29"/>
        <v>0</v>
      </c>
      <c r="F323" s="118">
        <f t="shared" si="29"/>
        <v>0</v>
      </c>
      <c r="G323" s="118">
        <f t="shared" si="29"/>
        <v>0</v>
      </c>
    </row>
    <row r="324" spans="1:7" ht="24.75" customHeight="1">
      <c r="A324" s="12">
        <v>42</v>
      </c>
      <c r="B324" s="13" t="s">
        <v>24</v>
      </c>
      <c r="C324" s="119">
        <f>C325</f>
        <v>3113.1634481385627</v>
      </c>
      <c r="D324" s="119">
        <f t="shared" si="29"/>
        <v>0</v>
      </c>
      <c r="E324" s="119">
        <f t="shared" si="29"/>
        <v>0</v>
      </c>
      <c r="F324" s="119">
        <f>E324</f>
        <v>0</v>
      </c>
      <c r="G324" s="119">
        <f>F324</f>
        <v>0</v>
      </c>
    </row>
    <row r="325" spans="1:7" ht="24.75" customHeight="1">
      <c r="A325" s="14">
        <v>424</v>
      </c>
      <c r="B325" s="15" t="s">
        <v>25</v>
      </c>
      <c r="C325" s="110">
        <f>C326</f>
        <v>3113.1634481385627</v>
      </c>
      <c r="D325" s="110">
        <f t="shared" si="29"/>
        <v>0</v>
      </c>
      <c r="E325" s="110">
        <f t="shared" si="29"/>
        <v>0</v>
      </c>
      <c r="F325" s="110">
        <f t="shared" si="29"/>
        <v>0</v>
      </c>
      <c r="G325" s="110">
        <f t="shared" si="29"/>
        <v>0</v>
      </c>
    </row>
    <row r="326" spans="1:7" ht="24.75" customHeight="1">
      <c r="A326" s="16">
        <v>4241</v>
      </c>
      <c r="B326" s="17" t="s">
        <v>55</v>
      </c>
      <c r="C326" s="114">
        <f>23456.13/7.5345</f>
        <v>3113.1634481385627</v>
      </c>
      <c r="D326" s="114">
        <v>0</v>
      </c>
      <c r="E326" s="114">
        <v>0</v>
      </c>
      <c r="F326" s="114">
        <v>0</v>
      </c>
      <c r="G326" s="114">
        <v>0</v>
      </c>
    </row>
    <row r="327" spans="1:7" ht="15.75" customHeight="1">
      <c r="A327" s="91" t="s">
        <v>221</v>
      </c>
      <c r="B327" s="91" t="s">
        <v>190</v>
      </c>
      <c r="C327" s="123">
        <f aca="true" t="shared" si="30" ref="C327:G329">C328</f>
        <v>360.86800716703164</v>
      </c>
      <c r="D327" s="123">
        <f t="shared" si="30"/>
        <v>464.5298294511912</v>
      </c>
      <c r="E327" s="123">
        <f t="shared" si="30"/>
        <v>530.89</v>
      </c>
      <c r="F327" s="123">
        <f t="shared" si="30"/>
        <v>530.89</v>
      </c>
      <c r="G327" s="123">
        <f t="shared" si="30"/>
        <v>530.89</v>
      </c>
    </row>
    <row r="328" spans="1:7" ht="15.75" customHeight="1">
      <c r="A328" s="136" t="s">
        <v>177</v>
      </c>
      <c r="B328" s="141" t="s">
        <v>121</v>
      </c>
      <c r="C328" s="122">
        <f t="shared" si="30"/>
        <v>360.86800716703164</v>
      </c>
      <c r="D328" s="122">
        <f t="shared" si="30"/>
        <v>464.5298294511912</v>
      </c>
      <c r="E328" s="122">
        <f t="shared" si="30"/>
        <v>530.89</v>
      </c>
      <c r="F328" s="122">
        <f t="shared" si="30"/>
        <v>530.89</v>
      </c>
      <c r="G328" s="122">
        <f t="shared" si="30"/>
        <v>530.89</v>
      </c>
    </row>
    <row r="329" spans="1:7" ht="15.75" customHeight="1">
      <c r="A329" s="92">
        <v>3</v>
      </c>
      <c r="B329" s="18" t="s">
        <v>10</v>
      </c>
      <c r="C329" s="118">
        <f t="shared" si="30"/>
        <v>360.86800716703164</v>
      </c>
      <c r="D329" s="118">
        <f t="shared" si="30"/>
        <v>464.5298294511912</v>
      </c>
      <c r="E329" s="118">
        <f t="shared" si="30"/>
        <v>530.89</v>
      </c>
      <c r="F329" s="118">
        <f t="shared" si="30"/>
        <v>530.89</v>
      </c>
      <c r="G329" s="118">
        <f t="shared" si="30"/>
        <v>530.89</v>
      </c>
    </row>
    <row r="330" spans="1:7" ht="15.75" customHeight="1">
      <c r="A330" s="12">
        <v>32</v>
      </c>
      <c r="B330" s="13" t="s">
        <v>15</v>
      </c>
      <c r="C330" s="119">
        <f aca="true" t="shared" si="31" ref="C330:E331">C331</f>
        <v>360.86800716703164</v>
      </c>
      <c r="D330" s="119">
        <f t="shared" si="31"/>
        <v>464.5298294511912</v>
      </c>
      <c r="E330" s="119">
        <f t="shared" si="31"/>
        <v>530.89</v>
      </c>
      <c r="F330" s="119">
        <f>E330</f>
        <v>530.89</v>
      </c>
      <c r="G330" s="119">
        <f>F330</f>
        <v>530.89</v>
      </c>
    </row>
    <row r="331" spans="1:7" ht="15.75" customHeight="1">
      <c r="A331" s="22">
        <v>323</v>
      </c>
      <c r="B331" s="23" t="s">
        <v>18</v>
      </c>
      <c r="C331" s="110">
        <f t="shared" si="31"/>
        <v>360.86800716703164</v>
      </c>
      <c r="D331" s="110">
        <f t="shared" si="31"/>
        <v>464.5298294511912</v>
      </c>
      <c r="E331" s="110">
        <f t="shared" si="31"/>
        <v>530.89</v>
      </c>
      <c r="F331" s="110">
        <f>F332</f>
        <v>530.89</v>
      </c>
      <c r="G331" s="110">
        <f>G332</f>
        <v>530.89</v>
      </c>
    </row>
    <row r="332" spans="1:7" ht="15.75" customHeight="1">
      <c r="A332" s="25">
        <v>3231</v>
      </c>
      <c r="B332" s="24" t="s">
        <v>62</v>
      </c>
      <c r="C332" s="114">
        <f>2718.96/7.5345</f>
        <v>360.86800716703164</v>
      </c>
      <c r="D332" s="134">
        <f>3500/7.5345</f>
        <v>464.5298294511912</v>
      </c>
      <c r="E332" s="134">
        <v>530.89</v>
      </c>
      <c r="F332" s="134">
        <f>E332</f>
        <v>530.89</v>
      </c>
      <c r="G332" s="134">
        <f>F332</f>
        <v>530.89</v>
      </c>
    </row>
    <row r="333" spans="1:7" ht="12.75">
      <c r="A333" s="235" t="s">
        <v>56</v>
      </c>
      <c r="B333" s="236"/>
      <c r="C333" s="131">
        <f>C11+C20+C28+C74+C175</f>
        <v>707411.0226292388</v>
      </c>
      <c r="D333" s="131">
        <f>D10+D25+D173</f>
        <v>699946.0076063442</v>
      </c>
      <c r="E333" s="131">
        <f>E10+E26+E76+E175</f>
        <v>693090.4536173602</v>
      </c>
      <c r="F333" s="131">
        <f>F10+F25+F175</f>
        <v>689374.2174490677</v>
      </c>
      <c r="G333" s="131">
        <f>G10+G25+G175</f>
        <v>689374.2174490677</v>
      </c>
    </row>
    <row r="334" spans="1:7" ht="12.75">
      <c r="A334" s="7"/>
      <c r="B334" s="4"/>
      <c r="C334" s="4"/>
      <c r="D334" s="4"/>
      <c r="E334" s="4"/>
      <c r="F334" s="4"/>
      <c r="G334" s="4"/>
    </row>
    <row r="335" spans="1:7" ht="12.75">
      <c r="A335" s="8"/>
      <c r="B335" s="4"/>
      <c r="C335" s="4"/>
      <c r="D335" s="4"/>
      <c r="E335" s="4"/>
      <c r="F335" s="4"/>
      <c r="G335" s="4"/>
    </row>
    <row r="336" spans="1:7" ht="12.75">
      <c r="A336" s="8"/>
      <c r="B336" s="4"/>
      <c r="C336" s="4"/>
      <c r="D336" s="4"/>
      <c r="E336" s="4"/>
      <c r="F336" s="4"/>
      <c r="G336" s="4"/>
    </row>
    <row r="337" spans="1:7" ht="12.75">
      <c r="A337" s="8"/>
      <c r="B337" s="4"/>
      <c r="C337" s="4"/>
      <c r="D337" s="4"/>
      <c r="E337" s="4"/>
      <c r="F337" s="4"/>
      <c r="G337" s="4"/>
    </row>
    <row r="338" spans="1:7" ht="12.75">
      <c r="A338" s="8"/>
      <c r="B338" s="4"/>
      <c r="C338" s="4"/>
      <c r="D338" s="4"/>
      <c r="E338" s="4"/>
      <c r="F338" s="4"/>
      <c r="G338" s="4"/>
    </row>
    <row r="339" spans="1:7" ht="12.75">
      <c r="A339" s="8"/>
      <c r="B339" s="4"/>
      <c r="C339" s="4"/>
      <c r="D339" s="4"/>
      <c r="E339" s="4"/>
      <c r="F339" s="4"/>
      <c r="G339" s="4"/>
    </row>
    <row r="340" spans="1:7" ht="12.75">
      <c r="A340" s="8"/>
      <c r="B340" s="4"/>
      <c r="C340" s="4"/>
      <c r="D340" s="4"/>
      <c r="E340" s="4"/>
      <c r="F340" s="4"/>
      <c r="G340" s="4"/>
    </row>
    <row r="341" spans="1:7" ht="12.75">
      <c r="A341" s="8"/>
      <c r="B341" s="4"/>
      <c r="C341" s="4"/>
      <c r="D341" s="4"/>
      <c r="E341" s="4"/>
      <c r="F341" s="4"/>
      <c r="G341" s="4"/>
    </row>
    <row r="342" spans="1:7" ht="12.75">
      <c r="A342" s="8"/>
      <c r="B342" s="4"/>
      <c r="C342" s="4"/>
      <c r="D342" s="4"/>
      <c r="E342" s="4"/>
      <c r="F342" s="4"/>
      <c r="G342" s="4"/>
    </row>
    <row r="343" spans="1:7" ht="12.75">
      <c r="A343" s="8"/>
      <c r="B343" s="4"/>
      <c r="C343" s="4"/>
      <c r="D343" s="4"/>
      <c r="E343" s="4"/>
      <c r="F343" s="4"/>
      <c r="G343" s="4"/>
    </row>
    <row r="344" spans="1:7" ht="12.75">
      <c r="A344" s="8"/>
      <c r="B344" s="4"/>
      <c r="C344" s="4"/>
      <c r="D344" s="4"/>
      <c r="E344" s="4"/>
      <c r="F344" s="4"/>
      <c r="G344" s="4"/>
    </row>
    <row r="345" spans="1:7" ht="12.75">
      <c r="A345" s="8"/>
      <c r="B345" s="4"/>
      <c r="C345" s="4"/>
      <c r="D345" s="4"/>
      <c r="E345" s="4"/>
      <c r="F345" s="4"/>
      <c r="G345" s="4"/>
    </row>
    <row r="346" spans="1:7" ht="12.75">
      <c r="A346" s="8"/>
      <c r="B346" s="4"/>
      <c r="C346" s="4"/>
      <c r="D346" s="4"/>
      <c r="E346" s="4"/>
      <c r="F346" s="4"/>
      <c r="G346" s="4"/>
    </row>
    <row r="347" spans="1:7" ht="12.75">
      <c r="A347" s="8"/>
      <c r="B347" s="4"/>
      <c r="C347" s="4"/>
      <c r="D347" s="4"/>
      <c r="E347" s="4"/>
      <c r="F347" s="4"/>
      <c r="G347" s="4"/>
    </row>
    <row r="348" spans="1:7" ht="12.75">
      <c r="A348" s="8"/>
      <c r="B348" s="4"/>
      <c r="C348" s="4"/>
      <c r="D348" s="4"/>
      <c r="E348" s="4"/>
      <c r="F348" s="4"/>
      <c r="G348" s="4"/>
    </row>
    <row r="349" spans="1:7" ht="12.75">
      <c r="A349" s="8"/>
      <c r="B349" s="4"/>
      <c r="C349" s="4"/>
      <c r="D349" s="4"/>
      <c r="E349" s="4"/>
      <c r="F349" s="4"/>
      <c r="G349" s="4"/>
    </row>
    <row r="350" spans="1:7" ht="12.75">
      <c r="A350" s="8"/>
      <c r="B350" s="4"/>
      <c r="C350" s="4"/>
      <c r="D350" s="4"/>
      <c r="E350" s="4"/>
      <c r="F350" s="4"/>
      <c r="G350" s="4"/>
    </row>
    <row r="351" spans="1:7" ht="12.75">
      <c r="A351" s="8"/>
      <c r="B351" s="4"/>
      <c r="C351" s="4"/>
      <c r="D351" s="4"/>
      <c r="E351" s="4"/>
      <c r="F351" s="4"/>
      <c r="G351" s="4"/>
    </row>
    <row r="352" spans="1:7" ht="12.75">
      <c r="A352" s="8"/>
      <c r="B352" s="4"/>
      <c r="C352" s="4"/>
      <c r="D352" s="4"/>
      <c r="E352" s="4"/>
      <c r="F352" s="4"/>
      <c r="G352" s="4"/>
    </row>
    <row r="353" spans="1:7" ht="12.75">
      <c r="A353" s="8"/>
      <c r="B353" s="4"/>
      <c r="C353" s="4"/>
      <c r="D353" s="4"/>
      <c r="E353" s="4"/>
      <c r="F353" s="4"/>
      <c r="G353" s="4"/>
    </row>
    <row r="354" spans="1:7" ht="12.75">
      <c r="A354" s="8"/>
      <c r="B354" s="4"/>
      <c r="C354" s="4"/>
      <c r="D354" s="4"/>
      <c r="E354" s="4"/>
      <c r="F354" s="4"/>
      <c r="G354" s="4"/>
    </row>
    <row r="355" spans="1:7" ht="12.75">
      <c r="A355" s="8"/>
      <c r="B355" s="4"/>
      <c r="C355" s="4"/>
      <c r="D355" s="4"/>
      <c r="E355" s="4"/>
      <c r="F355" s="4"/>
      <c r="G355" s="4"/>
    </row>
    <row r="356" spans="1:7" ht="12.75">
      <c r="A356" s="8"/>
      <c r="B356" s="4"/>
      <c r="C356" s="4"/>
      <c r="D356" s="4"/>
      <c r="E356" s="4"/>
      <c r="F356" s="4"/>
      <c r="G356" s="4"/>
    </row>
    <row r="357" spans="1:7" ht="12.75">
      <c r="A357" s="8"/>
      <c r="B357" s="4"/>
      <c r="C357" s="4"/>
      <c r="D357" s="4"/>
      <c r="E357" s="4"/>
      <c r="F357" s="4"/>
      <c r="G357" s="4"/>
    </row>
    <row r="358" spans="1:7" ht="12.75">
      <c r="A358" s="8"/>
      <c r="B358" s="4"/>
      <c r="C358" s="4"/>
      <c r="D358" s="4"/>
      <c r="E358" s="4"/>
      <c r="F358" s="4"/>
      <c r="G358" s="4"/>
    </row>
    <row r="359" spans="1:7" ht="12.75">
      <c r="A359" s="8"/>
      <c r="B359" s="4"/>
      <c r="C359" s="4"/>
      <c r="D359" s="4"/>
      <c r="E359" s="4"/>
      <c r="F359" s="4"/>
      <c r="G359" s="4"/>
    </row>
    <row r="360" spans="1:7" ht="12.75">
      <c r="A360" s="8"/>
      <c r="B360" s="4"/>
      <c r="C360" s="4"/>
      <c r="D360" s="4"/>
      <c r="E360" s="4"/>
      <c r="F360" s="4"/>
      <c r="G360" s="4"/>
    </row>
    <row r="361" spans="1:7" ht="12.75">
      <c r="A361" s="8"/>
      <c r="B361" s="4"/>
      <c r="C361" s="4"/>
      <c r="D361" s="4"/>
      <c r="E361" s="4"/>
      <c r="F361" s="4"/>
      <c r="G361" s="4"/>
    </row>
    <row r="362" spans="1:7" ht="12.75">
      <c r="A362" s="8"/>
      <c r="B362" s="4"/>
      <c r="C362" s="4"/>
      <c r="D362" s="4"/>
      <c r="E362" s="4"/>
      <c r="F362" s="4"/>
      <c r="G362" s="4"/>
    </row>
    <row r="363" spans="1:7" ht="12.75">
      <c r="A363" s="8"/>
      <c r="B363" s="4"/>
      <c r="C363" s="4"/>
      <c r="D363" s="4"/>
      <c r="E363" s="4"/>
      <c r="F363" s="4"/>
      <c r="G363" s="4"/>
    </row>
    <row r="364" spans="1:7" ht="12.75">
      <c r="A364" s="8"/>
      <c r="B364" s="4"/>
      <c r="C364" s="4"/>
      <c r="D364" s="4"/>
      <c r="E364" s="4"/>
      <c r="F364" s="4"/>
      <c r="G364" s="4"/>
    </row>
    <row r="365" spans="1:7" ht="12.75">
      <c r="A365" s="8"/>
      <c r="B365" s="4"/>
      <c r="C365" s="4"/>
      <c r="D365" s="4"/>
      <c r="E365" s="4"/>
      <c r="F365" s="4"/>
      <c r="G365" s="4"/>
    </row>
    <row r="366" spans="1:7" ht="12.75">
      <c r="A366" s="8"/>
      <c r="B366" s="4"/>
      <c r="C366" s="4"/>
      <c r="D366" s="4"/>
      <c r="E366" s="4"/>
      <c r="F366" s="4"/>
      <c r="G366" s="4"/>
    </row>
    <row r="367" spans="1:7" ht="12.75">
      <c r="A367" s="8"/>
      <c r="B367" s="4"/>
      <c r="C367" s="4"/>
      <c r="D367" s="4"/>
      <c r="E367" s="4"/>
      <c r="F367" s="4"/>
      <c r="G367" s="4"/>
    </row>
    <row r="368" spans="1:7" ht="12.75">
      <c r="A368" s="8"/>
      <c r="B368" s="4"/>
      <c r="C368" s="4"/>
      <c r="D368" s="4"/>
      <c r="E368" s="4"/>
      <c r="F368" s="4"/>
      <c r="G368" s="4"/>
    </row>
    <row r="369" spans="1:7" ht="12.75">
      <c r="A369" s="8"/>
      <c r="B369" s="4"/>
      <c r="C369" s="4"/>
      <c r="D369" s="4"/>
      <c r="E369" s="4"/>
      <c r="F369" s="4"/>
      <c r="G369" s="4"/>
    </row>
    <row r="370" spans="1:7" ht="12.75">
      <c r="A370" s="8"/>
      <c r="B370" s="4"/>
      <c r="C370" s="4"/>
      <c r="D370" s="4"/>
      <c r="E370" s="4"/>
      <c r="F370" s="4"/>
      <c r="G370" s="4"/>
    </row>
    <row r="371" spans="1:7" ht="12.75">
      <c r="A371" s="8"/>
      <c r="B371" s="4"/>
      <c r="C371" s="4"/>
      <c r="D371" s="4"/>
      <c r="E371" s="4"/>
      <c r="F371" s="4"/>
      <c r="G371" s="4"/>
    </row>
    <row r="372" spans="1:7" ht="12.75">
      <c r="A372" s="8"/>
      <c r="B372" s="4"/>
      <c r="C372" s="4"/>
      <c r="D372" s="4"/>
      <c r="E372" s="4"/>
      <c r="F372" s="4"/>
      <c r="G372" s="4"/>
    </row>
    <row r="373" spans="1:7" ht="12.75">
      <c r="A373" s="8"/>
      <c r="B373" s="4"/>
      <c r="C373" s="4"/>
      <c r="D373" s="4"/>
      <c r="E373" s="4"/>
      <c r="F373" s="4"/>
      <c r="G373" s="4"/>
    </row>
    <row r="374" spans="1:7" ht="12.75">
      <c r="A374" s="8"/>
      <c r="B374" s="4"/>
      <c r="C374" s="4"/>
      <c r="D374" s="4"/>
      <c r="E374" s="4"/>
      <c r="F374" s="4"/>
      <c r="G374" s="4"/>
    </row>
    <row r="375" spans="1:7" ht="12.75">
      <c r="A375" s="8"/>
      <c r="B375" s="4"/>
      <c r="C375" s="4"/>
      <c r="D375" s="4"/>
      <c r="E375" s="4"/>
      <c r="F375" s="4"/>
      <c r="G375" s="4"/>
    </row>
    <row r="376" spans="1:7" ht="12.75">
      <c r="A376" s="8"/>
      <c r="B376" s="4"/>
      <c r="C376" s="4"/>
      <c r="D376" s="4"/>
      <c r="E376" s="4"/>
      <c r="F376" s="4"/>
      <c r="G376" s="4"/>
    </row>
    <row r="377" spans="1:7" ht="12.75">
      <c r="A377" s="8"/>
      <c r="B377" s="4"/>
      <c r="C377" s="4"/>
      <c r="D377" s="4"/>
      <c r="E377" s="4"/>
      <c r="F377" s="4"/>
      <c r="G377" s="4"/>
    </row>
    <row r="378" spans="1:7" ht="12.75">
      <c r="A378" s="8"/>
      <c r="B378" s="4"/>
      <c r="C378" s="4"/>
      <c r="D378" s="4"/>
      <c r="E378" s="4"/>
      <c r="F378" s="4"/>
      <c r="G378" s="4"/>
    </row>
    <row r="379" spans="1:7" ht="12.75">
      <c r="A379" s="8"/>
      <c r="B379" s="4"/>
      <c r="C379" s="4"/>
      <c r="D379" s="4"/>
      <c r="E379" s="4"/>
      <c r="F379" s="4"/>
      <c r="G379" s="4"/>
    </row>
    <row r="380" spans="1:7" ht="12.75">
      <c r="A380" s="8"/>
      <c r="B380" s="4"/>
      <c r="C380" s="4"/>
      <c r="D380" s="4"/>
      <c r="E380" s="4"/>
      <c r="F380" s="4"/>
      <c r="G380" s="4"/>
    </row>
    <row r="381" spans="1:7" ht="12.75">
      <c r="A381" s="8"/>
      <c r="B381" s="4"/>
      <c r="C381" s="4"/>
      <c r="D381" s="4"/>
      <c r="E381" s="4"/>
      <c r="F381" s="4"/>
      <c r="G381" s="4"/>
    </row>
    <row r="382" spans="1:7" ht="12.75">
      <c r="A382" s="8"/>
      <c r="B382" s="4"/>
      <c r="C382" s="4"/>
      <c r="D382" s="4"/>
      <c r="E382" s="4"/>
      <c r="F382" s="4"/>
      <c r="G382" s="4"/>
    </row>
    <row r="383" spans="1:7" ht="12.75">
      <c r="A383" s="8"/>
      <c r="B383" s="4"/>
      <c r="C383" s="4"/>
      <c r="D383" s="4"/>
      <c r="E383" s="4"/>
      <c r="F383" s="4"/>
      <c r="G383" s="4"/>
    </row>
    <row r="384" spans="1:7" ht="12.75">
      <c r="A384" s="8"/>
      <c r="B384" s="4"/>
      <c r="C384" s="4"/>
      <c r="D384" s="4"/>
      <c r="E384" s="4"/>
      <c r="F384" s="4"/>
      <c r="G384" s="4"/>
    </row>
    <row r="385" spans="1:7" ht="12.75">
      <c r="A385" s="8"/>
      <c r="B385" s="4"/>
      <c r="C385" s="4"/>
      <c r="D385" s="4"/>
      <c r="E385" s="4"/>
      <c r="F385" s="4"/>
      <c r="G385" s="4"/>
    </row>
    <row r="386" spans="1:7" ht="12.75">
      <c r="A386" s="8"/>
      <c r="B386" s="4"/>
      <c r="C386" s="4"/>
      <c r="D386" s="4"/>
      <c r="E386" s="4"/>
      <c r="F386" s="4"/>
      <c r="G386" s="4"/>
    </row>
    <row r="387" spans="1:7" ht="12.75">
      <c r="A387" s="8"/>
      <c r="B387" s="4"/>
      <c r="C387" s="4"/>
      <c r="D387" s="4"/>
      <c r="E387" s="4"/>
      <c r="F387" s="4"/>
      <c r="G387" s="4"/>
    </row>
    <row r="388" spans="1:7" ht="12.75">
      <c r="A388" s="8"/>
      <c r="B388" s="4"/>
      <c r="C388" s="4"/>
      <c r="D388" s="4"/>
      <c r="E388" s="4"/>
      <c r="F388" s="4"/>
      <c r="G388" s="4"/>
    </row>
    <row r="389" spans="1:7" ht="12.75">
      <c r="A389" s="8"/>
      <c r="B389" s="4"/>
      <c r="C389" s="4"/>
      <c r="D389" s="4"/>
      <c r="E389" s="4"/>
      <c r="F389" s="4"/>
      <c r="G389" s="4"/>
    </row>
    <row r="390" spans="1:7" ht="12.75">
      <c r="A390" s="8"/>
      <c r="B390" s="4"/>
      <c r="C390" s="4"/>
      <c r="D390" s="4"/>
      <c r="E390" s="4"/>
      <c r="F390" s="4"/>
      <c r="G390" s="4"/>
    </row>
    <row r="391" spans="1:7" ht="12.75">
      <c r="A391" s="8"/>
      <c r="B391" s="4"/>
      <c r="C391" s="4"/>
      <c r="D391" s="4"/>
      <c r="E391" s="4"/>
      <c r="F391" s="4"/>
      <c r="G391" s="4"/>
    </row>
    <row r="392" spans="1:7" ht="12.75">
      <c r="A392" s="8"/>
      <c r="B392" s="4"/>
      <c r="C392" s="4"/>
      <c r="D392" s="4"/>
      <c r="E392" s="4"/>
      <c r="F392" s="4"/>
      <c r="G392" s="4"/>
    </row>
    <row r="393" spans="1:7" ht="12.75">
      <c r="A393" s="8"/>
      <c r="B393" s="4"/>
      <c r="C393" s="4"/>
      <c r="D393" s="4"/>
      <c r="E393" s="4"/>
      <c r="F393" s="4"/>
      <c r="G393" s="4"/>
    </row>
    <row r="394" spans="1:7" ht="12.75">
      <c r="A394" s="8"/>
      <c r="B394" s="4"/>
      <c r="C394" s="4"/>
      <c r="D394" s="4"/>
      <c r="E394" s="4"/>
      <c r="F394" s="4"/>
      <c r="G394" s="4"/>
    </row>
    <row r="395" spans="1:7" ht="12.75">
      <c r="A395" s="8"/>
      <c r="B395" s="4"/>
      <c r="C395" s="4"/>
      <c r="D395" s="4"/>
      <c r="E395" s="4"/>
      <c r="F395" s="4"/>
      <c r="G395" s="4"/>
    </row>
    <row r="396" spans="1:7" ht="12.75">
      <c r="A396" s="8"/>
      <c r="B396" s="4"/>
      <c r="C396" s="4"/>
      <c r="D396" s="4"/>
      <c r="E396" s="4"/>
      <c r="F396" s="4"/>
      <c r="G396" s="4"/>
    </row>
    <row r="397" spans="1:7" ht="12.75">
      <c r="A397" s="8"/>
      <c r="B397" s="4"/>
      <c r="C397" s="4"/>
      <c r="D397" s="4"/>
      <c r="E397" s="4"/>
      <c r="F397" s="4"/>
      <c r="G397" s="4"/>
    </row>
    <row r="398" spans="1:7" ht="12.75">
      <c r="A398" s="8"/>
      <c r="B398" s="4"/>
      <c r="C398" s="4"/>
      <c r="D398" s="4"/>
      <c r="E398" s="4"/>
      <c r="F398" s="4"/>
      <c r="G398" s="4"/>
    </row>
    <row r="399" spans="1:7" ht="12.75">
      <c r="A399" s="8"/>
      <c r="B399" s="4"/>
      <c r="C399" s="4"/>
      <c r="D399" s="4"/>
      <c r="E399" s="4"/>
      <c r="F399" s="4"/>
      <c r="G399" s="4"/>
    </row>
    <row r="400" spans="1:7" ht="12.75">
      <c r="A400" s="8"/>
      <c r="B400" s="4"/>
      <c r="C400" s="4"/>
      <c r="D400" s="4"/>
      <c r="E400" s="4"/>
      <c r="F400" s="4"/>
      <c r="G400" s="4"/>
    </row>
    <row r="401" spans="1:7" ht="12.75">
      <c r="A401" s="8"/>
      <c r="B401" s="4"/>
      <c r="C401" s="4"/>
      <c r="D401" s="4"/>
      <c r="E401" s="4"/>
      <c r="F401" s="4"/>
      <c r="G401" s="4"/>
    </row>
    <row r="402" spans="1:7" ht="12.75">
      <c r="A402" s="8"/>
      <c r="B402" s="4"/>
      <c r="C402" s="4"/>
      <c r="D402" s="4"/>
      <c r="E402" s="4"/>
      <c r="F402" s="4"/>
      <c r="G402" s="4"/>
    </row>
    <row r="403" spans="1:7" ht="12.75">
      <c r="A403" s="8"/>
      <c r="B403" s="4"/>
      <c r="C403" s="4"/>
      <c r="D403" s="4"/>
      <c r="E403" s="4"/>
      <c r="F403" s="4"/>
      <c r="G403" s="4"/>
    </row>
    <row r="404" spans="1:7" ht="12.75">
      <c r="A404" s="8"/>
      <c r="B404" s="4"/>
      <c r="C404" s="4"/>
      <c r="D404" s="4"/>
      <c r="E404" s="4"/>
      <c r="F404" s="4"/>
      <c r="G404" s="4"/>
    </row>
    <row r="405" spans="1:7" ht="12.75">
      <c r="A405" s="8"/>
      <c r="B405" s="4"/>
      <c r="C405" s="4"/>
      <c r="D405" s="4"/>
      <c r="E405" s="4"/>
      <c r="F405" s="4"/>
      <c r="G405" s="4"/>
    </row>
    <row r="406" spans="1:7" ht="12.75">
      <c r="A406" s="8"/>
      <c r="B406" s="4"/>
      <c r="C406" s="4"/>
      <c r="D406" s="4"/>
      <c r="E406" s="4"/>
      <c r="F406" s="4"/>
      <c r="G406" s="4"/>
    </row>
    <row r="407" spans="1:7" ht="12.75">
      <c r="A407" s="8"/>
      <c r="B407" s="4"/>
      <c r="C407" s="4"/>
      <c r="D407" s="4"/>
      <c r="E407" s="4"/>
      <c r="F407" s="4"/>
      <c r="G407" s="4"/>
    </row>
    <row r="408" spans="1:7" ht="12.75">
      <c r="A408" s="8"/>
      <c r="B408" s="4"/>
      <c r="C408" s="4"/>
      <c r="D408" s="4"/>
      <c r="E408" s="4"/>
      <c r="F408" s="4"/>
      <c r="G408" s="4"/>
    </row>
    <row r="409" spans="1:7" ht="12.75">
      <c r="A409" s="8"/>
      <c r="B409" s="4"/>
      <c r="C409" s="4"/>
      <c r="D409" s="4"/>
      <c r="E409" s="4"/>
      <c r="F409" s="4"/>
      <c r="G409" s="4"/>
    </row>
    <row r="410" spans="1:7" ht="12.75">
      <c r="A410" s="8"/>
      <c r="B410" s="4"/>
      <c r="C410" s="4"/>
      <c r="D410" s="4"/>
      <c r="E410" s="4"/>
      <c r="F410" s="4"/>
      <c r="G410" s="4"/>
    </row>
    <row r="411" spans="1:7" ht="12.75">
      <c r="A411" s="8"/>
      <c r="B411" s="4"/>
      <c r="C411" s="4"/>
      <c r="D411" s="4"/>
      <c r="E411" s="4"/>
      <c r="F411" s="4"/>
      <c r="G411" s="4"/>
    </row>
    <row r="412" spans="1:7" ht="12.75">
      <c r="A412" s="8"/>
      <c r="B412" s="4"/>
      <c r="C412" s="4"/>
      <c r="D412" s="4"/>
      <c r="E412" s="4"/>
      <c r="F412" s="4"/>
      <c r="G412" s="4"/>
    </row>
    <row r="413" spans="1:7" ht="12.75">
      <c r="A413" s="8"/>
      <c r="B413" s="4"/>
      <c r="C413" s="4"/>
      <c r="D413" s="4"/>
      <c r="E413" s="4"/>
      <c r="F413" s="4"/>
      <c r="G413" s="4"/>
    </row>
    <row r="414" spans="1:7" ht="12.75">
      <c r="A414" s="8"/>
      <c r="B414" s="4"/>
      <c r="C414" s="4"/>
      <c r="D414" s="4"/>
      <c r="E414" s="4"/>
      <c r="F414" s="4"/>
      <c r="G414" s="4"/>
    </row>
    <row r="415" spans="1:7" ht="12.75">
      <c r="A415" s="8"/>
      <c r="B415" s="4"/>
      <c r="C415" s="4"/>
      <c r="D415" s="4"/>
      <c r="E415" s="4"/>
      <c r="F415" s="4"/>
      <c r="G415" s="4"/>
    </row>
    <row r="416" spans="1:7" ht="12.75">
      <c r="A416" s="8"/>
      <c r="B416" s="4"/>
      <c r="C416" s="4"/>
      <c r="D416" s="4"/>
      <c r="E416" s="4"/>
      <c r="F416" s="4"/>
      <c r="G416" s="4"/>
    </row>
    <row r="417" spans="1:7" ht="12.75">
      <c r="A417" s="8"/>
      <c r="B417" s="4"/>
      <c r="C417" s="4"/>
      <c r="D417" s="4"/>
      <c r="E417" s="4"/>
      <c r="F417" s="4"/>
      <c r="G417" s="4"/>
    </row>
    <row r="418" spans="1:7" ht="12.75">
      <c r="A418" s="8"/>
      <c r="B418" s="4"/>
      <c r="C418" s="4"/>
      <c r="D418" s="4"/>
      <c r="E418" s="4"/>
      <c r="F418" s="4"/>
      <c r="G418" s="4"/>
    </row>
    <row r="419" spans="1:7" ht="12.75">
      <c r="A419" s="8"/>
      <c r="B419" s="4"/>
      <c r="C419" s="4"/>
      <c r="D419" s="4"/>
      <c r="E419" s="4"/>
      <c r="F419" s="4"/>
      <c r="G419" s="4"/>
    </row>
    <row r="420" spans="1:7" ht="12.75">
      <c r="A420" s="8"/>
      <c r="B420" s="4"/>
      <c r="C420" s="4"/>
      <c r="D420" s="4"/>
      <c r="E420" s="4"/>
      <c r="F420" s="4"/>
      <c r="G420" s="4"/>
    </row>
    <row r="421" spans="1:7" ht="12.75">
      <c r="A421" s="8"/>
      <c r="B421" s="4"/>
      <c r="C421" s="4"/>
      <c r="D421" s="4"/>
      <c r="E421" s="4"/>
      <c r="F421" s="4"/>
      <c r="G421" s="4"/>
    </row>
    <row r="422" spans="1:7" ht="12.75">
      <c r="A422" s="8"/>
      <c r="B422" s="4"/>
      <c r="C422" s="4"/>
      <c r="D422" s="4"/>
      <c r="E422" s="4"/>
      <c r="F422" s="4"/>
      <c r="G422" s="4"/>
    </row>
    <row r="423" spans="1:7" ht="12.75">
      <c r="A423" s="8"/>
      <c r="B423" s="4"/>
      <c r="C423" s="4"/>
      <c r="D423" s="4"/>
      <c r="E423" s="4"/>
      <c r="F423" s="4"/>
      <c r="G423" s="4"/>
    </row>
    <row r="424" spans="1:7" ht="12.75">
      <c r="A424" s="8"/>
      <c r="B424" s="4"/>
      <c r="C424" s="4"/>
      <c r="D424" s="4"/>
      <c r="E424" s="4"/>
      <c r="F424" s="4"/>
      <c r="G424" s="4"/>
    </row>
    <row r="425" spans="1:7" ht="12.75">
      <c r="A425" s="8"/>
      <c r="B425" s="4"/>
      <c r="C425" s="4"/>
      <c r="D425" s="4"/>
      <c r="E425" s="4"/>
      <c r="F425" s="4"/>
      <c r="G425" s="4"/>
    </row>
    <row r="426" spans="1:7" ht="12.75">
      <c r="A426" s="8"/>
      <c r="B426" s="4"/>
      <c r="C426" s="4"/>
      <c r="D426" s="4"/>
      <c r="E426" s="4"/>
      <c r="F426" s="4"/>
      <c r="G426" s="4"/>
    </row>
    <row r="427" spans="1:7" ht="12.75">
      <c r="A427" s="8"/>
      <c r="B427" s="4"/>
      <c r="C427" s="4"/>
      <c r="D427" s="4"/>
      <c r="E427" s="4"/>
      <c r="F427" s="4"/>
      <c r="G427" s="4"/>
    </row>
    <row r="428" spans="1:7" ht="12.75">
      <c r="A428" s="8"/>
      <c r="B428" s="4"/>
      <c r="C428" s="4"/>
      <c r="D428" s="4"/>
      <c r="E428" s="4"/>
      <c r="F428" s="4"/>
      <c r="G428" s="4"/>
    </row>
    <row r="429" spans="1:7" ht="12.75">
      <c r="A429" s="8"/>
      <c r="B429" s="4"/>
      <c r="C429" s="4"/>
      <c r="D429" s="4"/>
      <c r="E429" s="4"/>
      <c r="F429" s="4"/>
      <c r="G429" s="4"/>
    </row>
    <row r="430" spans="1:7" ht="12.75">
      <c r="A430" s="8"/>
      <c r="B430" s="4"/>
      <c r="C430" s="4"/>
      <c r="D430" s="4"/>
      <c r="E430" s="4"/>
      <c r="F430" s="4"/>
      <c r="G430" s="4"/>
    </row>
    <row r="431" spans="1:7" ht="12.75">
      <c r="A431" s="8"/>
      <c r="B431" s="4"/>
      <c r="C431" s="4"/>
      <c r="D431" s="4"/>
      <c r="E431" s="4"/>
      <c r="F431" s="4"/>
      <c r="G431" s="4"/>
    </row>
    <row r="432" spans="1:7" ht="12.75">
      <c r="A432" s="8"/>
      <c r="B432" s="4"/>
      <c r="C432" s="4"/>
      <c r="D432" s="4"/>
      <c r="E432" s="4"/>
      <c r="F432" s="4"/>
      <c r="G432" s="4"/>
    </row>
    <row r="433" spans="1:7" ht="12.75">
      <c r="A433" s="8"/>
      <c r="B433" s="4"/>
      <c r="C433" s="4"/>
      <c r="D433" s="4"/>
      <c r="E433" s="4"/>
      <c r="F433" s="4"/>
      <c r="G433" s="4"/>
    </row>
    <row r="434" spans="1:7" ht="12.75">
      <c r="A434" s="8"/>
      <c r="B434" s="4"/>
      <c r="C434" s="4"/>
      <c r="D434" s="4"/>
      <c r="E434" s="4"/>
      <c r="F434" s="4"/>
      <c r="G434" s="4"/>
    </row>
    <row r="435" spans="1:7" ht="12.75">
      <c r="A435" s="8"/>
      <c r="B435" s="4"/>
      <c r="C435" s="4"/>
      <c r="D435" s="4"/>
      <c r="E435" s="4"/>
      <c r="F435" s="4"/>
      <c r="G435" s="4"/>
    </row>
    <row r="436" spans="1:7" ht="12.75">
      <c r="A436" s="8"/>
      <c r="B436" s="4"/>
      <c r="C436" s="4"/>
      <c r="D436" s="4"/>
      <c r="E436" s="4"/>
      <c r="F436" s="4"/>
      <c r="G436" s="4"/>
    </row>
    <row r="437" spans="1:7" ht="12.75">
      <c r="A437" s="8"/>
      <c r="B437" s="4"/>
      <c r="C437" s="4"/>
      <c r="D437" s="4"/>
      <c r="E437" s="4"/>
      <c r="F437" s="4"/>
      <c r="G437" s="4"/>
    </row>
    <row r="438" spans="1:7" ht="12.75">
      <c r="A438" s="8"/>
      <c r="B438" s="4"/>
      <c r="C438" s="4"/>
      <c r="D438" s="4"/>
      <c r="E438" s="4"/>
      <c r="F438" s="4"/>
      <c r="G438" s="4"/>
    </row>
    <row r="439" spans="1:7" ht="12.75">
      <c r="A439" s="8"/>
      <c r="B439" s="4"/>
      <c r="C439" s="4"/>
      <c r="D439" s="4"/>
      <c r="E439" s="4"/>
      <c r="F439" s="4"/>
      <c r="G439" s="4"/>
    </row>
    <row r="440" spans="1:7" ht="12.75">
      <c r="A440" s="8"/>
      <c r="B440" s="4"/>
      <c r="C440" s="4"/>
      <c r="D440" s="4"/>
      <c r="E440" s="4"/>
      <c r="F440" s="4"/>
      <c r="G440" s="4"/>
    </row>
    <row r="441" spans="1:7" ht="12.75">
      <c r="A441" s="8"/>
      <c r="B441" s="4"/>
      <c r="C441" s="4"/>
      <c r="D441" s="4"/>
      <c r="E441" s="4"/>
      <c r="F441" s="4"/>
      <c r="G441" s="4"/>
    </row>
    <row r="442" spans="1:7" ht="12.75">
      <c r="A442" s="8"/>
      <c r="B442" s="4"/>
      <c r="C442" s="4"/>
      <c r="D442" s="4"/>
      <c r="E442" s="4"/>
      <c r="F442" s="4"/>
      <c r="G442" s="4"/>
    </row>
    <row r="443" spans="1:7" ht="12.75">
      <c r="A443" s="8"/>
      <c r="B443" s="4"/>
      <c r="C443" s="4"/>
      <c r="D443" s="4"/>
      <c r="E443" s="4"/>
      <c r="F443" s="4"/>
      <c r="G443" s="4"/>
    </row>
    <row r="444" spans="1:7" ht="12.75">
      <c r="A444" s="8"/>
      <c r="B444" s="4"/>
      <c r="C444" s="4"/>
      <c r="D444" s="4"/>
      <c r="E444" s="4"/>
      <c r="F444" s="4"/>
      <c r="G444" s="4"/>
    </row>
    <row r="445" spans="1:7" ht="12.75">
      <c r="A445" s="8"/>
      <c r="B445" s="4"/>
      <c r="C445" s="4"/>
      <c r="D445" s="4"/>
      <c r="E445" s="4"/>
      <c r="F445" s="4"/>
      <c r="G445" s="4"/>
    </row>
    <row r="446" spans="1:7" ht="12.75">
      <c r="A446" s="8"/>
      <c r="B446" s="4"/>
      <c r="C446" s="4"/>
      <c r="D446" s="4"/>
      <c r="E446" s="4"/>
      <c r="F446" s="4"/>
      <c r="G446" s="4"/>
    </row>
    <row r="447" spans="1:7" ht="12.75">
      <c r="A447" s="8"/>
      <c r="B447" s="4"/>
      <c r="C447" s="4"/>
      <c r="D447" s="4"/>
      <c r="E447" s="4"/>
      <c r="F447" s="4"/>
      <c r="G447" s="4"/>
    </row>
    <row r="448" spans="1:7" ht="12.75">
      <c r="A448" s="8"/>
      <c r="B448" s="4"/>
      <c r="C448" s="4"/>
      <c r="D448" s="4"/>
      <c r="E448" s="4"/>
      <c r="F448" s="4"/>
      <c r="G448" s="4"/>
    </row>
    <row r="449" spans="1:7" ht="12.75">
      <c r="A449" s="8"/>
      <c r="B449" s="4"/>
      <c r="C449" s="4"/>
      <c r="D449" s="4"/>
      <c r="E449" s="4"/>
      <c r="F449" s="4"/>
      <c r="G449" s="4"/>
    </row>
    <row r="450" spans="1:7" ht="12.75">
      <c r="A450" s="8"/>
      <c r="B450" s="4"/>
      <c r="C450" s="4"/>
      <c r="D450" s="4"/>
      <c r="E450" s="4"/>
      <c r="F450" s="4"/>
      <c r="G450" s="4"/>
    </row>
    <row r="451" spans="1:7" ht="12.75">
      <c r="A451" s="8"/>
      <c r="B451" s="4"/>
      <c r="C451" s="4"/>
      <c r="D451" s="4"/>
      <c r="E451" s="4"/>
      <c r="F451" s="4"/>
      <c r="G451" s="4"/>
    </row>
    <row r="452" spans="1:7" ht="12.75">
      <c r="A452" s="8"/>
      <c r="B452" s="4"/>
      <c r="C452" s="4"/>
      <c r="D452" s="4"/>
      <c r="E452" s="4"/>
      <c r="F452" s="4"/>
      <c r="G452" s="4"/>
    </row>
    <row r="453" spans="1:7" ht="12.75">
      <c r="A453" s="8"/>
      <c r="B453" s="4"/>
      <c r="C453" s="4"/>
      <c r="D453" s="4"/>
      <c r="E453" s="4"/>
      <c r="F453" s="4"/>
      <c r="G453" s="4"/>
    </row>
    <row r="454" spans="1:7" ht="12.75">
      <c r="A454" s="8"/>
      <c r="B454" s="4"/>
      <c r="C454" s="4"/>
      <c r="D454" s="4"/>
      <c r="E454" s="4"/>
      <c r="F454" s="4"/>
      <c r="G454" s="4"/>
    </row>
    <row r="455" spans="1:7" ht="12.75">
      <c r="A455" s="8"/>
      <c r="B455" s="4"/>
      <c r="C455" s="4"/>
      <c r="D455" s="4"/>
      <c r="E455" s="4"/>
      <c r="F455" s="4"/>
      <c r="G455" s="4"/>
    </row>
    <row r="456" spans="1:7" ht="12.75">
      <c r="A456" s="8"/>
      <c r="B456" s="4"/>
      <c r="C456" s="4"/>
      <c r="D456" s="4"/>
      <c r="E456" s="4"/>
      <c r="F456" s="4"/>
      <c r="G456" s="4"/>
    </row>
    <row r="457" spans="1:7" ht="12.75">
      <c r="A457" s="8"/>
      <c r="B457" s="4"/>
      <c r="C457" s="4"/>
      <c r="D457" s="4"/>
      <c r="E457" s="4"/>
      <c r="F457" s="4"/>
      <c r="G457" s="4"/>
    </row>
    <row r="458" spans="1:7" ht="12.75">
      <c r="A458" s="8"/>
      <c r="B458" s="4"/>
      <c r="C458" s="4"/>
      <c r="D458" s="4"/>
      <c r="E458" s="4"/>
      <c r="F458" s="4"/>
      <c r="G458" s="4"/>
    </row>
    <row r="459" spans="1:7" ht="12.75">
      <c r="A459" s="8"/>
      <c r="B459" s="4"/>
      <c r="C459" s="4"/>
      <c r="D459" s="4"/>
      <c r="E459" s="4"/>
      <c r="F459" s="4"/>
      <c r="G459" s="4"/>
    </row>
    <row r="460" spans="1:7" ht="12.75">
      <c r="A460" s="8"/>
      <c r="B460" s="4"/>
      <c r="C460" s="4"/>
      <c r="D460" s="4"/>
      <c r="E460" s="4"/>
      <c r="F460" s="4"/>
      <c r="G460" s="4"/>
    </row>
    <row r="461" spans="1:7" ht="12.75">
      <c r="A461" s="8"/>
      <c r="B461" s="4"/>
      <c r="C461" s="4"/>
      <c r="D461" s="4"/>
      <c r="E461" s="4"/>
      <c r="F461" s="4"/>
      <c r="G461" s="4"/>
    </row>
    <row r="462" spans="1:7" ht="12.75">
      <c r="A462" s="8"/>
      <c r="B462" s="4"/>
      <c r="C462" s="4"/>
      <c r="D462" s="4"/>
      <c r="E462" s="4"/>
      <c r="F462" s="4"/>
      <c r="G462" s="4"/>
    </row>
    <row r="463" spans="1:7" ht="12.75">
      <c r="A463" s="8"/>
      <c r="B463" s="4"/>
      <c r="C463" s="4"/>
      <c r="D463" s="4"/>
      <c r="E463" s="4"/>
      <c r="F463" s="4"/>
      <c r="G463" s="4"/>
    </row>
    <row r="464" spans="1:7" ht="12.75">
      <c r="A464" s="8"/>
      <c r="B464" s="4"/>
      <c r="C464" s="4"/>
      <c r="D464" s="4"/>
      <c r="E464" s="4"/>
      <c r="F464" s="4"/>
      <c r="G464" s="4"/>
    </row>
    <row r="465" spans="1:7" ht="12.75">
      <c r="A465" s="8"/>
      <c r="B465" s="4"/>
      <c r="C465" s="4"/>
      <c r="D465" s="4"/>
      <c r="E465" s="4"/>
      <c r="F465" s="4"/>
      <c r="G465" s="4"/>
    </row>
    <row r="466" spans="1:7" ht="12.75">
      <c r="A466" s="8"/>
      <c r="B466" s="4"/>
      <c r="C466" s="4"/>
      <c r="D466" s="4"/>
      <c r="E466" s="4"/>
      <c r="F466" s="4"/>
      <c r="G466" s="4"/>
    </row>
    <row r="467" spans="1:7" ht="12.75">
      <c r="A467" s="8"/>
      <c r="B467" s="4"/>
      <c r="C467" s="4"/>
      <c r="D467" s="4"/>
      <c r="E467" s="4"/>
      <c r="F467" s="4"/>
      <c r="G467" s="4"/>
    </row>
    <row r="468" spans="1:7" ht="12.75">
      <c r="A468" s="8"/>
      <c r="B468" s="4"/>
      <c r="C468" s="4"/>
      <c r="D468" s="4"/>
      <c r="E468" s="4"/>
      <c r="F468" s="4"/>
      <c r="G468" s="4"/>
    </row>
    <row r="469" spans="1:7" ht="12.75">
      <c r="A469" s="8"/>
      <c r="B469" s="4"/>
      <c r="C469" s="4"/>
      <c r="D469" s="4"/>
      <c r="E469" s="4"/>
      <c r="F469" s="4"/>
      <c r="G469" s="4"/>
    </row>
    <row r="470" spans="1:7" ht="12.75">
      <c r="A470" s="8"/>
      <c r="B470" s="4"/>
      <c r="C470" s="4"/>
      <c r="D470" s="4"/>
      <c r="E470" s="4"/>
      <c r="F470" s="4"/>
      <c r="G470" s="4"/>
    </row>
    <row r="471" spans="1:7" ht="12.75">
      <c r="A471" s="8"/>
      <c r="B471" s="4"/>
      <c r="C471" s="4"/>
      <c r="D471" s="4"/>
      <c r="E471" s="4"/>
      <c r="F471" s="4"/>
      <c r="G471" s="4"/>
    </row>
    <row r="472" spans="1:7" ht="12.75">
      <c r="A472" s="8"/>
      <c r="B472" s="4"/>
      <c r="C472" s="4"/>
      <c r="D472" s="4"/>
      <c r="E472" s="4"/>
      <c r="F472" s="4"/>
      <c r="G472" s="4"/>
    </row>
    <row r="473" spans="1:7" ht="12.75">
      <c r="A473" s="8"/>
      <c r="B473" s="4"/>
      <c r="C473" s="4"/>
      <c r="D473" s="4"/>
      <c r="E473" s="4"/>
      <c r="F473" s="4"/>
      <c r="G473" s="4"/>
    </row>
    <row r="474" spans="1:7" ht="12.75">
      <c r="A474" s="8"/>
      <c r="B474" s="4"/>
      <c r="C474" s="4"/>
      <c r="D474" s="4"/>
      <c r="E474" s="4"/>
      <c r="F474" s="4"/>
      <c r="G474" s="4"/>
    </row>
    <row r="475" spans="1:7" ht="12.75">
      <c r="A475" s="8"/>
      <c r="B475" s="4"/>
      <c r="C475" s="4"/>
      <c r="D475" s="4"/>
      <c r="E475" s="4"/>
      <c r="F475" s="4"/>
      <c r="G475" s="4"/>
    </row>
    <row r="476" spans="1:7" ht="12.75">
      <c r="A476" s="8"/>
      <c r="B476" s="4"/>
      <c r="C476" s="4"/>
      <c r="D476" s="4"/>
      <c r="E476" s="4"/>
      <c r="F476" s="4"/>
      <c r="G476" s="4"/>
    </row>
    <row r="477" spans="1:7" ht="12.75">
      <c r="A477" s="8"/>
      <c r="B477" s="4"/>
      <c r="C477" s="4"/>
      <c r="D477" s="4"/>
      <c r="E477" s="4"/>
      <c r="F477" s="4"/>
      <c r="G477" s="4"/>
    </row>
    <row r="478" spans="1:7" ht="12.75">
      <c r="A478" s="8"/>
      <c r="B478" s="4"/>
      <c r="C478" s="4"/>
      <c r="D478" s="4"/>
      <c r="E478" s="4"/>
      <c r="F478" s="4"/>
      <c r="G478" s="4"/>
    </row>
    <row r="479" spans="1:7" ht="12.75">
      <c r="A479" s="8"/>
      <c r="B479" s="4"/>
      <c r="C479" s="4"/>
      <c r="D479" s="4"/>
      <c r="E479" s="4"/>
      <c r="F479" s="4"/>
      <c r="G479" s="4"/>
    </row>
    <row r="480" spans="1:7" ht="12.75">
      <c r="A480" s="8"/>
      <c r="B480" s="4"/>
      <c r="C480" s="4"/>
      <c r="D480" s="4"/>
      <c r="E480" s="4"/>
      <c r="F480" s="4"/>
      <c r="G480" s="4"/>
    </row>
    <row r="481" spans="1:7" ht="12.75">
      <c r="A481" s="8"/>
      <c r="B481" s="4"/>
      <c r="C481" s="4"/>
      <c r="D481" s="4"/>
      <c r="E481" s="4"/>
      <c r="F481" s="4"/>
      <c r="G481" s="4"/>
    </row>
    <row r="482" spans="1:7" ht="12.75">
      <c r="A482" s="8"/>
      <c r="B482" s="4"/>
      <c r="C482" s="4"/>
      <c r="D482" s="4"/>
      <c r="E482" s="4"/>
      <c r="F482" s="4"/>
      <c r="G482" s="4"/>
    </row>
    <row r="483" spans="1:7" ht="12.75">
      <c r="A483" s="8"/>
      <c r="B483" s="4"/>
      <c r="C483" s="4"/>
      <c r="D483" s="4"/>
      <c r="E483" s="4"/>
      <c r="F483" s="4"/>
      <c r="G483" s="4"/>
    </row>
    <row r="484" spans="1:7" ht="12.75">
      <c r="A484" s="8"/>
      <c r="B484" s="4"/>
      <c r="C484" s="4"/>
      <c r="D484" s="4"/>
      <c r="E484" s="4"/>
      <c r="F484" s="4"/>
      <c r="G484" s="4"/>
    </row>
    <row r="485" spans="1:7" ht="12.75">
      <c r="A485" s="8"/>
      <c r="B485" s="4"/>
      <c r="C485" s="4"/>
      <c r="D485" s="4"/>
      <c r="E485" s="4"/>
      <c r="F485" s="4"/>
      <c r="G485" s="4"/>
    </row>
    <row r="486" spans="1:7" ht="12.75">
      <c r="A486" s="8"/>
      <c r="B486" s="4"/>
      <c r="C486" s="4"/>
      <c r="D486" s="4"/>
      <c r="E486" s="4"/>
      <c r="F486" s="4"/>
      <c r="G486" s="4"/>
    </row>
    <row r="487" spans="1:7" ht="12.75">
      <c r="A487" s="8"/>
      <c r="B487" s="4"/>
      <c r="C487" s="4"/>
      <c r="D487" s="4"/>
      <c r="E487" s="4"/>
      <c r="F487" s="4"/>
      <c r="G487" s="4"/>
    </row>
    <row r="488" spans="1:7" ht="12.75">
      <c r="A488" s="8"/>
      <c r="B488" s="4"/>
      <c r="C488" s="4"/>
      <c r="D488" s="4"/>
      <c r="E488" s="4"/>
      <c r="F488" s="4"/>
      <c r="G488" s="4"/>
    </row>
    <row r="489" spans="1:7" ht="12.75">
      <c r="A489" s="8"/>
      <c r="B489" s="4"/>
      <c r="C489" s="4"/>
      <c r="D489" s="4"/>
      <c r="E489" s="4"/>
      <c r="F489" s="4"/>
      <c r="G489" s="4"/>
    </row>
    <row r="490" spans="1:7" ht="12.75">
      <c r="A490" s="8"/>
      <c r="B490" s="4"/>
      <c r="C490" s="4"/>
      <c r="D490" s="4"/>
      <c r="E490" s="4"/>
      <c r="F490" s="4"/>
      <c r="G490" s="4"/>
    </row>
    <row r="491" spans="1:7" ht="12.75">
      <c r="A491" s="8"/>
      <c r="B491" s="4"/>
      <c r="C491" s="4"/>
      <c r="D491" s="4"/>
      <c r="E491" s="4"/>
      <c r="F491" s="4"/>
      <c r="G491" s="4"/>
    </row>
    <row r="492" spans="1:7" ht="12.75">
      <c r="A492" s="8"/>
      <c r="B492" s="4"/>
      <c r="C492" s="4"/>
      <c r="D492" s="4"/>
      <c r="E492" s="4"/>
      <c r="F492" s="4"/>
      <c r="G492" s="4"/>
    </row>
    <row r="493" spans="1:7" ht="12.75">
      <c r="A493" s="8"/>
      <c r="B493" s="4"/>
      <c r="C493" s="4"/>
      <c r="D493" s="4"/>
      <c r="E493" s="4"/>
      <c r="F493" s="4"/>
      <c r="G493" s="4"/>
    </row>
    <row r="494" spans="1:7" ht="12.75">
      <c r="A494" s="8"/>
      <c r="B494" s="4"/>
      <c r="C494" s="4"/>
      <c r="D494" s="4"/>
      <c r="E494" s="4"/>
      <c r="F494" s="4"/>
      <c r="G494" s="4"/>
    </row>
    <row r="495" spans="1:7" ht="12.75">
      <c r="A495" s="8"/>
      <c r="B495" s="4"/>
      <c r="C495" s="4"/>
      <c r="D495" s="4"/>
      <c r="E495" s="4"/>
      <c r="F495" s="4"/>
      <c r="G495" s="4"/>
    </row>
    <row r="496" spans="1:7" ht="12.75">
      <c r="A496" s="8"/>
      <c r="B496" s="4"/>
      <c r="C496" s="4"/>
      <c r="D496" s="4"/>
      <c r="E496" s="4"/>
      <c r="F496" s="4"/>
      <c r="G496" s="4"/>
    </row>
    <row r="497" spans="1:7" ht="12.75">
      <c r="A497" s="8"/>
      <c r="B497" s="4"/>
      <c r="C497" s="4"/>
      <c r="D497" s="4"/>
      <c r="E497" s="4"/>
      <c r="F497" s="4"/>
      <c r="G497" s="4"/>
    </row>
    <row r="498" spans="1:7" ht="12.75">
      <c r="A498" s="8"/>
      <c r="B498" s="4"/>
      <c r="C498" s="4"/>
      <c r="D498" s="4"/>
      <c r="E498" s="4"/>
      <c r="F498" s="4"/>
      <c r="G498" s="4"/>
    </row>
    <row r="499" spans="1:7" ht="12.75">
      <c r="A499" s="8"/>
      <c r="B499" s="4"/>
      <c r="C499" s="4"/>
      <c r="D499" s="4"/>
      <c r="E499" s="4"/>
      <c r="F499" s="4"/>
      <c r="G499" s="4"/>
    </row>
    <row r="500" spans="1:7" ht="12.75">
      <c r="A500" s="8"/>
      <c r="B500" s="4"/>
      <c r="C500" s="4"/>
      <c r="D500" s="4"/>
      <c r="E500" s="4"/>
      <c r="F500" s="4"/>
      <c r="G500" s="4"/>
    </row>
    <row r="501" spans="1:7" ht="12.75">
      <c r="A501" s="8"/>
      <c r="B501" s="4"/>
      <c r="C501" s="4"/>
      <c r="D501" s="4"/>
      <c r="E501" s="4"/>
      <c r="F501" s="4"/>
      <c r="G501" s="4"/>
    </row>
    <row r="502" spans="1:7" ht="12.75">
      <c r="A502" s="8"/>
      <c r="B502" s="4"/>
      <c r="C502" s="4"/>
      <c r="D502" s="4"/>
      <c r="E502" s="4"/>
      <c r="F502" s="4"/>
      <c r="G502" s="4"/>
    </row>
    <row r="503" spans="1:7" ht="12.75">
      <c r="A503" s="8"/>
      <c r="B503" s="4"/>
      <c r="C503" s="4"/>
      <c r="D503" s="4"/>
      <c r="E503" s="4"/>
      <c r="F503" s="4"/>
      <c r="G503" s="4"/>
    </row>
    <row r="504" spans="1:7" ht="12.75">
      <c r="A504" s="8"/>
      <c r="B504" s="4"/>
      <c r="C504" s="4"/>
      <c r="D504" s="4"/>
      <c r="E504" s="4"/>
      <c r="F504" s="4"/>
      <c r="G504" s="4"/>
    </row>
    <row r="505" spans="1:7" ht="12.75">
      <c r="A505" s="8"/>
      <c r="B505" s="4"/>
      <c r="C505" s="4"/>
      <c r="D505" s="4"/>
      <c r="E505" s="4"/>
      <c r="F505" s="4"/>
      <c r="G505" s="4"/>
    </row>
    <row r="506" spans="1:7" ht="12.75">
      <c r="A506" s="8"/>
      <c r="B506" s="4"/>
      <c r="C506" s="4"/>
      <c r="D506" s="4"/>
      <c r="E506" s="4"/>
      <c r="F506" s="4"/>
      <c r="G506" s="4"/>
    </row>
    <row r="507" spans="1:7" ht="12.75">
      <c r="A507" s="8"/>
      <c r="B507" s="4"/>
      <c r="C507" s="4"/>
      <c r="D507" s="4"/>
      <c r="E507" s="4"/>
      <c r="F507" s="4"/>
      <c r="G507" s="4"/>
    </row>
    <row r="508" spans="1:7" ht="12.75">
      <c r="A508" s="8"/>
      <c r="B508" s="4"/>
      <c r="C508" s="4"/>
      <c r="D508" s="4"/>
      <c r="E508" s="4"/>
      <c r="F508" s="4"/>
      <c r="G508" s="4"/>
    </row>
    <row r="509" spans="1:7" ht="12.75">
      <c r="A509" s="8"/>
      <c r="B509" s="4"/>
      <c r="C509" s="4"/>
      <c r="D509" s="4"/>
      <c r="E509" s="4"/>
      <c r="F509" s="4"/>
      <c r="G509" s="4"/>
    </row>
    <row r="510" spans="1:7" ht="12.75">
      <c r="A510" s="8"/>
      <c r="B510" s="4"/>
      <c r="C510" s="4"/>
      <c r="D510" s="4"/>
      <c r="E510" s="4"/>
      <c r="F510" s="4"/>
      <c r="G510" s="4"/>
    </row>
    <row r="511" spans="1:7" ht="12.75">
      <c r="A511" s="8"/>
      <c r="B511" s="4"/>
      <c r="C511" s="4"/>
      <c r="D511" s="4"/>
      <c r="E511" s="4"/>
      <c r="F511" s="4"/>
      <c r="G511" s="4"/>
    </row>
    <row r="512" spans="1:7" ht="12.75">
      <c r="A512" s="8"/>
      <c r="B512" s="4"/>
      <c r="C512" s="4"/>
      <c r="D512" s="4"/>
      <c r="E512" s="4"/>
      <c r="F512" s="4"/>
      <c r="G512" s="4"/>
    </row>
    <row r="513" spans="1:7" ht="12.75">
      <c r="A513" s="8"/>
      <c r="B513" s="4"/>
      <c r="C513" s="4"/>
      <c r="D513" s="4"/>
      <c r="E513" s="4"/>
      <c r="F513" s="4"/>
      <c r="G513" s="4"/>
    </row>
    <row r="514" spans="1:7" ht="12.75">
      <c r="A514" s="8"/>
      <c r="B514" s="4"/>
      <c r="C514" s="4"/>
      <c r="D514" s="4"/>
      <c r="E514" s="4"/>
      <c r="F514" s="4"/>
      <c r="G514" s="4"/>
    </row>
    <row r="515" spans="1:7" ht="12.75">
      <c r="A515" s="8"/>
      <c r="B515" s="4"/>
      <c r="C515" s="4"/>
      <c r="D515" s="4"/>
      <c r="E515" s="4"/>
      <c r="F515" s="4"/>
      <c r="G515" s="4"/>
    </row>
    <row r="516" spans="1:7" ht="12.75">
      <c r="A516" s="8"/>
      <c r="B516" s="4"/>
      <c r="C516" s="4"/>
      <c r="D516" s="4"/>
      <c r="E516" s="4"/>
      <c r="F516" s="4"/>
      <c r="G516" s="4"/>
    </row>
    <row r="517" spans="1:7" ht="12.75">
      <c r="A517" s="8"/>
      <c r="B517" s="4"/>
      <c r="C517" s="4"/>
      <c r="D517" s="4"/>
      <c r="E517" s="4"/>
      <c r="F517" s="4"/>
      <c r="G517" s="4"/>
    </row>
    <row r="518" spans="1:7" ht="12.75">
      <c r="A518" s="8"/>
      <c r="B518" s="4"/>
      <c r="C518" s="4"/>
      <c r="D518" s="4"/>
      <c r="E518" s="4"/>
      <c r="F518" s="4"/>
      <c r="G518" s="4"/>
    </row>
    <row r="519" spans="1:7" ht="12.75">
      <c r="A519" s="8"/>
      <c r="B519" s="4"/>
      <c r="C519" s="4"/>
      <c r="D519" s="4"/>
      <c r="E519" s="4"/>
      <c r="F519" s="4"/>
      <c r="G519" s="4"/>
    </row>
    <row r="520" spans="1:7" ht="12.75">
      <c r="A520" s="8"/>
      <c r="B520" s="4"/>
      <c r="C520" s="4"/>
      <c r="D520" s="4"/>
      <c r="E520" s="4"/>
      <c r="F520" s="4"/>
      <c r="G520" s="4"/>
    </row>
    <row r="521" spans="1:7" ht="12.75">
      <c r="A521" s="8"/>
      <c r="B521" s="4"/>
      <c r="C521" s="4"/>
      <c r="D521" s="4"/>
      <c r="E521" s="4"/>
      <c r="F521" s="4"/>
      <c r="G521" s="4"/>
    </row>
    <row r="522" spans="1:7" ht="12.75">
      <c r="A522" s="8"/>
      <c r="B522" s="4"/>
      <c r="C522" s="4"/>
      <c r="D522" s="4"/>
      <c r="E522" s="4"/>
      <c r="F522" s="4"/>
      <c r="G522" s="4"/>
    </row>
    <row r="523" spans="1:7" ht="12.75">
      <c r="A523" s="8"/>
      <c r="B523" s="4"/>
      <c r="C523" s="4"/>
      <c r="D523" s="4"/>
      <c r="E523" s="4"/>
      <c r="F523" s="4"/>
      <c r="G523" s="4"/>
    </row>
    <row r="524" spans="1:7" ht="12.75">
      <c r="A524" s="8"/>
      <c r="B524" s="4"/>
      <c r="C524" s="4"/>
      <c r="D524" s="4"/>
      <c r="E524" s="4"/>
      <c r="F524" s="4"/>
      <c r="G524" s="4"/>
    </row>
    <row r="525" spans="1:7" ht="12.75">
      <c r="A525" s="8"/>
      <c r="B525" s="4"/>
      <c r="C525" s="4"/>
      <c r="D525" s="4"/>
      <c r="E525" s="4"/>
      <c r="F525" s="4"/>
      <c r="G525" s="4"/>
    </row>
    <row r="526" spans="1:7" ht="12.75">
      <c r="A526" s="8"/>
      <c r="B526" s="4"/>
      <c r="C526" s="4"/>
      <c r="D526" s="4"/>
      <c r="E526" s="4"/>
      <c r="F526" s="4"/>
      <c r="G526" s="4"/>
    </row>
    <row r="527" spans="1:7" ht="12.75">
      <c r="A527" s="8"/>
      <c r="B527" s="4"/>
      <c r="C527" s="4"/>
      <c r="D527" s="4"/>
      <c r="E527" s="4"/>
      <c r="F527" s="4"/>
      <c r="G527" s="4"/>
    </row>
    <row r="528" spans="1:7" ht="12.75">
      <c r="A528" s="8"/>
      <c r="B528" s="4"/>
      <c r="C528" s="4"/>
      <c r="D528" s="4"/>
      <c r="E528" s="4"/>
      <c r="F528" s="4"/>
      <c r="G528" s="4"/>
    </row>
    <row r="529" spans="1:7" ht="12.75">
      <c r="A529" s="8"/>
      <c r="B529" s="4"/>
      <c r="C529" s="4"/>
      <c r="D529" s="4"/>
      <c r="E529" s="4"/>
      <c r="F529" s="4"/>
      <c r="G529" s="4"/>
    </row>
    <row r="530" spans="1:7" ht="12.75">
      <c r="A530" s="8"/>
      <c r="B530" s="4"/>
      <c r="C530" s="4"/>
      <c r="D530" s="4"/>
      <c r="E530" s="4"/>
      <c r="F530" s="4"/>
      <c r="G530" s="4"/>
    </row>
    <row r="531" spans="1:7" ht="12.75">
      <c r="A531" s="8"/>
      <c r="B531" s="4"/>
      <c r="C531" s="4"/>
      <c r="D531" s="4"/>
      <c r="E531" s="4"/>
      <c r="F531" s="4"/>
      <c r="G531" s="4"/>
    </row>
    <row r="532" spans="1:7" ht="12.75">
      <c r="A532" s="8"/>
      <c r="B532" s="4"/>
      <c r="C532" s="4"/>
      <c r="D532" s="4"/>
      <c r="E532" s="4"/>
      <c r="F532" s="4"/>
      <c r="G532" s="4"/>
    </row>
    <row r="533" spans="1:7" ht="12.75">
      <c r="A533" s="8"/>
      <c r="B533" s="4"/>
      <c r="C533" s="4"/>
      <c r="D533" s="4"/>
      <c r="E533" s="4"/>
      <c r="F533" s="4"/>
      <c r="G533" s="4"/>
    </row>
    <row r="534" spans="1:7" ht="12.75">
      <c r="A534" s="8"/>
      <c r="B534" s="4"/>
      <c r="C534" s="4"/>
      <c r="D534" s="4"/>
      <c r="E534" s="4"/>
      <c r="F534" s="4"/>
      <c r="G534" s="4"/>
    </row>
    <row r="535" spans="1:7" ht="12.75">
      <c r="A535" s="8"/>
      <c r="B535" s="4"/>
      <c r="C535" s="4"/>
      <c r="D535" s="4"/>
      <c r="E535" s="4"/>
      <c r="F535" s="4"/>
      <c r="G535" s="4"/>
    </row>
    <row r="536" spans="1:7" ht="12.75">
      <c r="A536" s="8"/>
      <c r="B536" s="4"/>
      <c r="C536" s="4"/>
      <c r="D536" s="4"/>
      <c r="E536" s="4"/>
      <c r="F536" s="4"/>
      <c r="G536" s="4"/>
    </row>
    <row r="537" spans="1:7" ht="12.75">
      <c r="A537" s="8"/>
      <c r="B537" s="4"/>
      <c r="C537" s="4"/>
      <c r="D537" s="4"/>
      <c r="E537" s="4"/>
      <c r="F537" s="4"/>
      <c r="G537" s="4"/>
    </row>
    <row r="538" spans="1:7" ht="12.75">
      <c r="A538" s="8"/>
      <c r="B538" s="4"/>
      <c r="C538" s="4"/>
      <c r="D538" s="4"/>
      <c r="E538" s="4"/>
      <c r="F538" s="4"/>
      <c r="G538" s="4"/>
    </row>
    <row r="539" spans="1:7" ht="12.75">
      <c r="A539" s="8"/>
      <c r="B539" s="4"/>
      <c r="C539" s="4"/>
      <c r="D539" s="4"/>
      <c r="E539" s="4"/>
      <c r="F539" s="4"/>
      <c r="G539" s="4"/>
    </row>
    <row r="540" spans="1:7" ht="12.75">
      <c r="A540" s="8"/>
      <c r="B540" s="4"/>
      <c r="C540" s="4"/>
      <c r="D540" s="4"/>
      <c r="E540" s="4"/>
      <c r="F540" s="4"/>
      <c r="G540" s="4"/>
    </row>
    <row r="541" spans="1:7" ht="12.75">
      <c r="A541" s="8"/>
      <c r="B541" s="4"/>
      <c r="C541" s="4"/>
      <c r="D541" s="4"/>
      <c r="E541" s="4"/>
      <c r="F541" s="4"/>
      <c r="G541" s="4"/>
    </row>
    <row r="542" spans="1:7" ht="12.75">
      <c r="A542" s="8"/>
      <c r="B542" s="4"/>
      <c r="C542" s="4"/>
      <c r="D542" s="4"/>
      <c r="E542" s="4"/>
      <c r="F542" s="4"/>
      <c r="G542" s="4"/>
    </row>
    <row r="543" spans="1:7" ht="12.75">
      <c r="A543" s="8"/>
      <c r="B543" s="4"/>
      <c r="C543" s="4"/>
      <c r="D543" s="4"/>
      <c r="E543" s="4"/>
      <c r="F543" s="4"/>
      <c r="G543" s="4"/>
    </row>
    <row r="544" spans="1:7" ht="12.75">
      <c r="A544" s="8"/>
      <c r="B544" s="4"/>
      <c r="C544" s="4"/>
      <c r="D544" s="4"/>
      <c r="E544" s="4"/>
      <c r="F544" s="4"/>
      <c r="G544" s="4"/>
    </row>
    <row r="545" spans="1:7" ht="12.75">
      <c r="A545" s="8"/>
      <c r="B545" s="4"/>
      <c r="C545" s="4"/>
      <c r="D545" s="4"/>
      <c r="E545" s="4"/>
      <c r="F545" s="4"/>
      <c r="G545" s="4"/>
    </row>
    <row r="546" spans="1:7" ht="12.75">
      <c r="A546" s="8"/>
      <c r="B546" s="4"/>
      <c r="C546" s="4"/>
      <c r="D546" s="4"/>
      <c r="E546" s="4"/>
      <c r="F546" s="4"/>
      <c r="G546" s="4"/>
    </row>
    <row r="547" spans="1:7" ht="12.75">
      <c r="A547" s="8"/>
      <c r="B547" s="4"/>
      <c r="C547" s="4"/>
      <c r="D547" s="4"/>
      <c r="E547" s="4"/>
      <c r="F547" s="4"/>
      <c r="G547" s="4"/>
    </row>
    <row r="548" spans="1:7" ht="12.75">
      <c r="A548" s="8"/>
      <c r="B548" s="4"/>
      <c r="C548" s="4"/>
      <c r="D548" s="4"/>
      <c r="E548" s="4"/>
      <c r="F548" s="4"/>
      <c r="G548" s="4"/>
    </row>
    <row r="549" spans="1:7" ht="12.75">
      <c r="A549" s="8"/>
      <c r="B549" s="4"/>
      <c r="C549" s="4"/>
      <c r="D549" s="4"/>
      <c r="E549" s="4"/>
      <c r="F549" s="4"/>
      <c r="G549" s="4"/>
    </row>
    <row r="550" spans="1:7" ht="12.75">
      <c r="A550" s="8"/>
      <c r="B550" s="4"/>
      <c r="C550" s="4"/>
      <c r="D550" s="4"/>
      <c r="E550" s="4"/>
      <c r="F550" s="4"/>
      <c r="G550" s="4"/>
    </row>
    <row r="551" spans="1:7" ht="12.75">
      <c r="A551" s="8"/>
      <c r="B551" s="4"/>
      <c r="C551" s="4"/>
      <c r="D551" s="4"/>
      <c r="E551" s="4"/>
      <c r="F551" s="4"/>
      <c r="G551" s="4"/>
    </row>
    <row r="552" spans="1:7" ht="12.75">
      <c r="A552" s="8"/>
      <c r="B552" s="4"/>
      <c r="C552" s="4"/>
      <c r="D552" s="4"/>
      <c r="E552" s="4"/>
      <c r="F552" s="4"/>
      <c r="G552" s="4"/>
    </row>
    <row r="553" spans="1:7" ht="12.75">
      <c r="A553" s="8"/>
      <c r="B553" s="4"/>
      <c r="C553" s="4"/>
      <c r="D553" s="4"/>
      <c r="E553" s="4"/>
      <c r="F553" s="4"/>
      <c r="G553" s="4"/>
    </row>
    <row r="554" spans="1:7" ht="12.75">
      <c r="A554" s="8"/>
      <c r="B554" s="4"/>
      <c r="C554" s="4"/>
      <c r="D554" s="4"/>
      <c r="E554" s="4"/>
      <c r="F554" s="4"/>
      <c r="G554" s="4"/>
    </row>
    <row r="555" spans="1:7" ht="12.75">
      <c r="A555" s="8"/>
      <c r="B555" s="4"/>
      <c r="C555" s="4"/>
      <c r="D555" s="4"/>
      <c r="E555" s="4"/>
      <c r="F555" s="4"/>
      <c r="G555" s="4"/>
    </row>
    <row r="556" spans="1:7" ht="12.75">
      <c r="A556" s="8"/>
      <c r="B556" s="4"/>
      <c r="C556" s="4"/>
      <c r="D556" s="4"/>
      <c r="E556" s="4"/>
      <c r="F556" s="4"/>
      <c r="G556" s="4"/>
    </row>
    <row r="557" spans="1:7" ht="12.75">
      <c r="A557" s="8"/>
      <c r="B557" s="4"/>
      <c r="C557" s="4"/>
      <c r="D557" s="4"/>
      <c r="E557" s="4"/>
      <c r="F557" s="4"/>
      <c r="G557" s="4"/>
    </row>
    <row r="558" spans="1:7" ht="12.75">
      <c r="A558" s="8"/>
      <c r="B558" s="4"/>
      <c r="C558" s="4"/>
      <c r="D558" s="4"/>
      <c r="E558" s="4"/>
      <c r="F558" s="4"/>
      <c r="G558" s="4"/>
    </row>
    <row r="559" spans="1:7" ht="12.75">
      <c r="A559" s="8"/>
      <c r="B559" s="4"/>
      <c r="C559" s="4"/>
      <c r="D559" s="4"/>
      <c r="E559" s="4"/>
      <c r="F559" s="4"/>
      <c r="G559" s="4"/>
    </row>
    <row r="560" spans="1:7" ht="12.75">
      <c r="A560" s="8"/>
      <c r="B560" s="4"/>
      <c r="C560" s="4"/>
      <c r="D560" s="4"/>
      <c r="E560" s="4"/>
      <c r="F560" s="4"/>
      <c r="G560" s="4"/>
    </row>
    <row r="561" spans="1:7" ht="12.75">
      <c r="A561" s="8"/>
      <c r="B561" s="4"/>
      <c r="C561" s="4"/>
      <c r="D561" s="4"/>
      <c r="E561" s="4"/>
      <c r="F561" s="4"/>
      <c r="G561" s="4"/>
    </row>
    <row r="562" spans="1:7" ht="12.75">
      <c r="A562" s="8"/>
      <c r="B562" s="4"/>
      <c r="C562" s="4"/>
      <c r="D562" s="4"/>
      <c r="E562" s="4"/>
      <c r="F562" s="4"/>
      <c r="G562" s="4"/>
    </row>
    <row r="563" spans="1:7" ht="12.75">
      <c r="A563" s="8"/>
      <c r="B563" s="4"/>
      <c r="C563" s="4"/>
      <c r="D563" s="4"/>
      <c r="E563" s="4"/>
      <c r="F563" s="4"/>
      <c r="G563" s="4"/>
    </row>
    <row r="564" spans="1:7" ht="12.75">
      <c r="A564" s="8"/>
      <c r="B564" s="4"/>
      <c r="C564" s="4"/>
      <c r="D564" s="4"/>
      <c r="E564" s="4"/>
      <c r="F564" s="4"/>
      <c r="G564" s="4"/>
    </row>
    <row r="565" spans="1:7" ht="12.75">
      <c r="A565" s="8"/>
      <c r="B565" s="4"/>
      <c r="C565" s="4"/>
      <c r="D565" s="4"/>
      <c r="E565" s="4"/>
      <c r="F565" s="4"/>
      <c r="G565" s="4"/>
    </row>
    <row r="566" spans="1:7" ht="12.75">
      <c r="A566" s="8"/>
      <c r="B566" s="4"/>
      <c r="C566" s="4"/>
      <c r="D566" s="4"/>
      <c r="E566" s="4"/>
      <c r="F566" s="4"/>
      <c r="G566" s="4"/>
    </row>
    <row r="567" spans="1:7" ht="12.75">
      <c r="A567" s="8"/>
      <c r="B567" s="4"/>
      <c r="C567" s="4"/>
      <c r="D567" s="4"/>
      <c r="E567" s="4"/>
      <c r="F567" s="4"/>
      <c r="G567" s="4"/>
    </row>
    <row r="568" spans="1:7" ht="12.75">
      <c r="A568" s="8"/>
      <c r="B568" s="4"/>
      <c r="C568" s="4"/>
      <c r="D568" s="4"/>
      <c r="E568" s="4"/>
      <c r="F568" s="4"/>
      <c r="G568" s="4"/>
    </row>
    <row r="569" spans="1:7" ht="12.75">
      <c r="A569" s="8"/>
      <c r="B569" s="4"/>
      <c r="C569" s="4"/>
      <c r="D569" s="4"/>
      <c r="E569" s="4"/>
      <c r="F569" s="4"/>
      <c r="G569" s="4"/>
    </row>
    <row r="570" spans="1:7" ht="12.75">
      <c r="A570" s="8"/>
      <c r="B570" s="4"/>
      <c r="C570" s="4"/>
      <c r="D570" s="4"/>
      <c r="E570" s="4"/>
      <c r="F570" s="4"/>
      <c r="G570" s="4"/>
    </row>
    <row r="571" spans="1:7" ht="12.75">
      <c r="A571" s="8"/>
      <c r="B571" s="4"/>
      <c r="C571" s="4"/>
      <c r="D571" s="4"/>
      <c r="E571" s="4"/>
      <c r="F571" s="4"/>
      <c r="G571" s="4"/>
    </row>
    <row r="572" spans="1:7" ht="12.75">
      <c r="A572" s="8"/>
      <c r="B572" s="4"/>
      <c r="C572" s="4"/>
      <c r="D572" s="4"/>
      <c r="E572" s="4"/>
      <c r="F572" s="4"/>
      <c r="G572" s="4"/>
    </row>
    <row r="573" spans="1:7" ht="12.75">
      <c r="A573" s="8"/>
      <c r="B573" s="4"/>
      <c r="C573" s="4"/>
      <c r="D573" s="4"/>
      <c r="E573" s="4"/>
      <c r="F573" s="4"/>
      <c r="G573" s="4"/>
    </row>
    <row r="574" spans="1:7" ht="12.75">
      <c r="A574" s="8"/>
      <c r="B574" s="4"/>
      <c r="C574" s="4"/>
      <c r="D574" s="4"/>
      <c r="E574" s="4"/>
      <c r="F574" s="4"/>
      <c r="G574" s="4"/>
    </row>
    <row r="575" spans="1:7" ht="12.75">
      <c r="A575" s="8"/>
      <c r="B575" s="4"/>
      <c r="C575" s="4"/>
      <c r="D575" s="4"/>
      <c r="E575" s="4"/>
      <c r="F575" s="4"/>
      <c r="G575" s="4"/>
    </row>
    <row r="576" spans="1:7" ht="12.75">
      <c r="A576" s="8"/>
      <c r="B576" s="4"/>
      <c r="C576" s="4"/>
      <c r="D576" s="4"/>
      <c r="E576" s="4"/>
      <c r="F576" s="4"/>
      <c r="G576" s="4"/>
    </row>
    <row r="577" spans="1:7" ht="12.75">
      <c r="A577" s="8"/>
      <c r="B577" s="4"/>
      <c r="C577" s="4"/>
      <c r="D577" s="4"/>
      <c r="E577" s="4"/>
      <c r="F577" s="4"/>
      <c r="G577" s="4"/>
    </row>
    <row r="578" spans="1:7" ht="12.75">
      <c r="A578" s="8"/>
      <c r="B578" s="4"/>
      <c r="C578" s="4"/>
      <c r="D578" s="4"/>
      <c r="E578" s="4"/>
      <c r="F578" s="4"/>
      <c r="G578" s="4"/>
    </row>
    <row r="579" spans="1:7" ht="12.75">
      <c r="A579" s="8"/>
      <c r="B579" s="4"/>
      <c r="C579" s="4"/>
      <c r="D579" s="4"/>
      <c r="E579" s="4"/>
      <c r="F579" s="4"/>
      <c r="G579" s="4"/>
    </row>
    <row r="580" spans="1:7" ht="12.75">
      <c r="A580" s="8"/>
      <c r="B580" s="4"/>
      <c r="C580" s="4"/>
      <c r="D580" s="4"/>
      <c r="E580" s="4"/>
      <c r="F580" s="4"/>
      <c r="G580" s="4"/>
    </row>
    <row r="581" spans="1:7" ht="12.75">
      <c r="A581" s="8"/>
      <c r="B581" s="4"/>
      <c r="C581" s="4"/>
      <c r="D581" s="4"/>
      <c r="E581" s="4"/>
      <c r="F581" s="4"/>
      <c r="G581" s="4"/>
    </row>
    <row r="582" spans="1:7" ht="12.75">
      <c r="A582" s="8"/>
      <c r="B582" s="4"/>
      <c r="C582" s="4"/>
      <c r="D582" s="4"/>
      <c r="E582" s="4"/>
      <c r="F582" s="4"/>
      <c r="G582" s="4"/>
    </row>
    <row r="583" spans="1:7" ht="12.75">
      <c r="A583" s="8"/>
      <c r="B583" s="4"/>
      <c r="C583" s="4"/>
      <c r="D583" s="4"/>
      <c r="E583" s="4"/>
      <c r="F583" s="4"/>
      <c r="G583" s="4"/>
    </row>
    <row r="584" spans="1:7" ht="12.75">
      <c r="A584" s="8"/>
      <c r="B584" s="4"/>
      <c r="C584" s="4"/>
      <c r="D584" s="4"/>
      <c r="E584" s="4"/>
      <c r="F584" s="4"/>
      <c r="G584" s="4"/>
    </row>
    <row r="585" spans="1:7" ht="12.75">
      <c r="A585" s="8"/>
      <c r="B585" s="4"/>
      <c r="C585" s="4"/>
      <c r="D585" s="4"/>
      <c r="E585" s="4"/>
      <c r="F585" s="4"/>
      <c r="G585" s="4"/>
    </row>
    <row r="586" spans="1:7" ht="12.75">
      <c r="A586" s="8"/>
      <c r="B586" s="4"/>
      <c r="C586" s="4"/>
      <c r="D586" s="4"/>
      <c r="E586" s="4"/>
      <c r="F586" s="4"/>
      <c r="G586" s="4"/>
    </row>
    <row r="587" spans="1:7" ht="12.75">
      <c r="A587" s="8"/>
      <c r="B587" s="4"/>
      <c r="C587" s="4"/>
      <c r="D587" s="4"/>
      <c r="E587" s="4"/>
      <c r="F587" s="4"/>
      <c r="G587" s="4"/>
    </row>
    <row r="588" spans="1:7" ht="12.75">
      <c r="A588" s="8"/>
      <c r="B588" s="4"/>
      <c r="C588" s="4"/>
      <c r="D588" s="4"/>
      <c r="E588" s="4"/>
      <c r="F588" s="4"/>
      <c r="G588" s="4"/>
    </row>
    <row r="589" spans="1:7" ht="12.75">
      <c r="A589" s="8"/>
      <c r="B589" s="4"/>
      <c r="C589" s="4"/>
      <c r="D589" s="4"/>
      <c r="E589" s="4"/>
      <c r="F589" s="4"/>
      <c r="G589" s="4"/>
    </row>
    <row r="590" spans="1:7" ht="12.75">
      <c r="A590" s="8"/>
      <c r="B590" s="4"/>
      <c r="C590" s="4"/>
      <c r="D590" s="4"/>
      <c r="E590" s="4"/>
      <c r="F590" s="4"/>
      <c r="G590" s="4"/>
    </row>
    <row r="591" spans="1:7" ht="12.75">
      <c r="A591" s="8"/>
      <c r="B591" s="4"/>
      <c r="C591" s="4"/>
      <c r="D591" s="4"/>
      <c r="E591" s="4"/>
      <c r="F591" s="4"/>
      <c r="G591" s="4"/>
    </row>
    <row r="592" spans="1:7" ht="12.75">
      <c r="A592" s="8"/>
      <c r="B592" s="4"/>
      <c r="C592" s="4"/>
      <c r="D592" s="4"/>
      <c r="E592" s="4"/>
      <c r="F592" s="4"/>
      <c r="G592" s="4"/>
    </row>
    <row r="593" spans="1:7" ht="12.75">
      <c r="A593" s="8"/>
      <c r="B593" s="4"/>
      <c r="C593" s="4"/>
      <c r="D593" s="4"/>
      <c r="E593" s="4"/>
      <c r="F593" s="4"/>
      <c r="G593" s="4"/>
    </row>
    <row r="594" spans="1:7" ht="12.75">
      <c r="A594" s="8"/>
      <c r="B594" s="4"/>
      <c r="C594" s="4"/>
      <c r="D594" s="4"/>
      <c r="E594" s="4"/>
      <c r="F594" s="4"/>
      <c r="G594" s="4"/>
    </row>
    <row r="595" spans="1:7" ht="12.75">
      <c r="A595" s="8"/>
      <c r="B595" s="4"/>
      <c r="C595" s="4"/>
      <c r="D595" s="4"/>
      <c r="E595" s="4"/>
      <c r="F595" s="4"/>
      <c r="G595" s="4"/>
    </row>
    <row r="596" spans="1:7" ht="12.75">
      <c r="A596" s="8"/>
      <c r="B596" s="4"/>
      <c r="C596" s="4"/>
      <c r="D596" s="4"/>
      <c r="E596" s="4"/>
      <c r="F596" s="4"/>
      <c r="G596" s="4"/>
    </row>
    <row r="597" spans="1:7" ht="12.75">
      <c r="A597" s="8"/>
      <c r="B597" s="4"/>
      <c r="C597" s="4"/>
      <c r="D597" s="4"/>
      <c r="E597" s="4"/>
      <c r="F597" s="4"/>
      <c r="G597" s="4"/>
    </row>
    <row r="598" spans="1:7" ht="12.75">
      <c r="A598" s="8"/>
      <c r="B598" s="4"/>
      <c r="C598" s="4"/>
      <c r="D598" s="4"/>
      <c r="E598" s="4"/>
      <c r="F598" s="4"/>
      <c r="G598" s="4"/>
    </row>
    <row r="599" spans="1:7" ht="12.75">
      <c r="A599" s="8"/>
      <c r="B599" s="4"/>
      <c r="C599" s="4"/>
      <c r="D599" s="4"/>
      <c r="E599" s="4"/>
      <c r="F599" s="4"/>
      <c r="G599" s="4"/>
    </row>
    <row r="600" spans="1:7" ht="12.75">
      <c r="A600" s="8"/>
      <c r="B600" s="4"/>
      <c r="C600" s="4"/>
      <c r="D600" s="4"/>
      <c r="E600" s="4"/>
      <c r="F600" s="4"/>
      <c r="G600" s="4"/>
    </row>
    <row r="601" spans="1:7" ht="12.75">
      <c r="A601" s="8"/>
      <c r="B601" s="4"/>
      <c r="C601" s="4"/>
      <c r="D601" s="4"/>
      <c r="E601" s="4"/>
      <c r="F601" s="4"/>
      <c r="G601" s="4"/>
    </row>
    <row r="602" spans="1:7" ht="12.75">
      <c r="A602" s="8"/>
      <c r="B602" s="4"/>
      <c r="C602" s="4"/>
      <c r="D602" s="4"/>
      <c r="E602" s="4"/>
      <c r="F602" s="4"/>
      <c r="G602" s="4"/>
    </row>
    <row r="603" spans="1:7" ht="12.75">
      <c r="A603" s="8"/>
      <c r="B603" s="4"/>
      <c r="C603" s="4"/>
      <c r="D603" s="4"/>
      <c r="E603" s="4"/>
      <c r="F603" s="4"/>
      <c r="G603" s="4"/>
    </row>
    <row r="604" spans="1:7" ht="12.75">
      <c r="A604" s="8"/>
      <c r="B604" s="4"/>
      <c r="C604" s="4"/>
      <c r="D604" s="4"/>
      <c r="E604" s="4"/>
      <c r="F604" s="4"/>
      <c r="G604" s="4"/>
    </row>
    <row r="605" spans="1:7" ht="12.75">
      <c r="A605" s="8"/>
      <c r="B605" s="4"/>
      <c r="C605" s="4"/>
      <c r="D605" s="4"/>
      <c r="E605" s="4"/>
      <c r="F605" s="4"/>
      <c r="G605" s="4"/>
    </row>
    <row r="606" spans="1:7" ht="12.75">
      <c r="A606" s="8"/>
      <c r="B606" s="4"/>
      <c r="C606" s="4"/>
      <c r="D606" s="4"/>
      <c r="E606" s="4"/>
      <c r="F606" s="4"/>
      <c r="G606" s="4"/>
    </row>
    <row r="607" spans="1:7" ht="12.75">
      <c r="A607" s="8"/>
      <c r="B607" s="4"/>
      <c r="C607" s="4"/>
      <c r="D607" s="4"/>
      <c r="E607" s="4"/>
      <c r="F607" s="4"/>
      <c r="G607" s="4"/>
    </row>
    <row r="608" spans="1:7" ht="12.75">
      <c r="A608" s="8"/>
      <c r="B608" s="4"/>
      <c r="C608" s="4"/>
      <c r="D608" s="4"/>
      <c r="E608" s="4"/>
      <c r="F608" s="4"/>
      <c r="G608" s="4"/>
    </row>
    <row r="609" spans="1:7" ht="12.75">
      <c r="A609" s="8"/>
      <c r="B609" s="4"/>
      <c r="C609" s="4"/>
      <c r="D609" s="4"/>
      <c r="E609" s="4"/>
      <c r="F609" s="4"/>
      <c r="G609" s="4"/>
    </row>
    <row r="610" spans="1:7" ht="12.75">
      <c r="A610" s="8"/>
      <c r="B610" s="4"/>
      <c r="C610" s="4"/>
      <c r="D610" s="4"/>
      <c r="E610" s="4"/>
      <c r="F610" s="4"/>
      <c r="G610" s="4"/>
    </row>
    <row r="611" spans="1:7" ht="12.75">
      <c r="A611" s="8"/>
      <c r="B611" s="4"/>
      <c r="C611" s="4"/>
      <c r="D611" s="4"/>
      <c r="E611" s="4"/>
      <c r="F611" s="4"/>
      <c r="G611" s="4"/>
    </row>
    <row r="612" spans="1:7" ht="12.75">
      <c r="A612" s="8"/>
      <c r="B612" s="4"/>
      <c r="C612" s="4"/>
      <c r="D612" s="4"/>
      <c r="E612" s="4"/>
      <c r="F612" s="4"/>
      <c r="G612" s="4"/>
    </row>
    <row r="613" spans="1:7" ht="12.75">
      <c r="A613" s="8"/>
      <c r="B613" s="4"/>
      <c r="C613" s="4"/>
      <c r="D613" s="4"/>
      <c r="E613" s="4"/>
      <c r="F613" s="4"/>
      <c r="G613" s="4"/>
    </row>
    <row r="614" spans="1:7" ht="12.75">
      <c r="A614" s="8"/>
      <c r="B614" s="4"/>
      <c r="C614" s="4"/>
      <c r="D614" s="4"/>
      <c r="E614" s="4"/>
      <c r="F614" s="4"/>
      <c r="G614" s="4"/>
    </row>
    <row r="615" spans="1:7" ht="12.75">
      <c r="A615" s="8"/>
      <c r="B615" s="4"/>
      <c r="C615" s="4"/>
      <c r="D615" s="4"/>
      <c r="E615" s="4"/>
      <c r="F615" s="4"/>
      <c r="G615" s="4"/>
    </row>
    <row r="616" spans="1:7" ht="12.75">
      <c r="A616" s="8"/>
      <c r="B616" s="4"/>
      <c r="C616" s="4"/>
      <c r="D616" s="4"/>
      <c r="E616" s="4"/>
      <c r="F616" s="4"/>
      <c r="G616" s="4"/>
    </row>
    <row r="617" spans="1:7" ht="12.75">
      <c r="A617" s="8"/>
      <c r="B617" s="4"/>
      <c r="C617" s="4"/>
      <c r="D617" s="4"/>
      <c r="E617" s="4"/>
      <c r="F617" s="4"/>
      <c r="G617" s="4"/>
    </row>
    <row r="618" spans="1:7" ht="12.75">
      <c r="A618" s="8"/>
      <c r="B618" s="4"/>
      <c r="C618" s="4"/>
      <c r="D618" s="4"/>
      <c r="E618" s="4"/>
      <c r="F618" s="4"/>
      <c r="G618" s="4"/>
    </row>
    <row r="619" spans="1:7" ht="12.75">
      <c r="A619" s="8"/>
      <c r="B619" s="4"/>
      <c r="C619" s="4"/>
      <c r="D619" s="4"/>
      <c r="E619" s="4"/>
      <c r="F619" s="4"/>
      <c r="G619" s="4"/>
    </row>
    <row r="620" spans="1:7" ht="12.75">
      <c r="A620" s="8"/>
      <c r="B620" s="4"/>
      <c r="C620" s="4"/>
      <c r="D620" s="4"/>
      <c r="E620" s="4"/>
      <c r="F620" s="4"/>
      <c r="G620" s="4"/>
    </row>
    <row r="621" spans="1:7" ht="12.75">
      <c r="A621" s="8"/>
      <c r="B621" s="4"/>
      <c r="C621" s="4"/>
      <c r="D621" s="4"/>
      <c r="E621" s="4"/>
      <c r="F621" s="4"/>
      <c r="G621" s="4"/>
    </row>
    <row r="622" spans="1:7" ht="12.75">
      <c r="A622" s="8"/>
      <c r="B622" s="4"/>
      <c r="C622" s="4"/>
      <c r="D622" s="4"/>
      <c r="E622" s="4"/>
      <c r="F622" s="4"/>
      <c r="G622" s="4"/>
    </row>
  </sheetData>
  <sheetProtection/>
  <mergeCells count="3">
    <mergeCell ref="A333:B333"/>
    <mergeCell ref="A2:G2"/>
    <mergeCell ref="A1:G1"/>
  </mergeCells>
  <printOptions horizontalCentered="1"/>
  <pageMargins left="0.25" right="0.25" top="0.75" bottom="0.75" header="0.3" footer="0.3"/>
  <pageSetup firstPageNumber="3" useFirstPageNumber="1" fitToHeight="0" fitToWidth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2022-10-06T06:21:27Z</cp:lastPrinted>
  <dcterms:created xsi:type="dcterms:W3CDTF">2013-09-11T11:00:21Z</dcterms:created>
  <dcterms:modified xsi:type="dcterms:W3CDTF">2022-10-07T12:31:14Z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